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nah\Dropbox\Friends of Meaford Library\Treasurer Reports\Year End Statements\2022\"/>
    </mc:Choice>
  </mc:AlternateContent>
  <xr:revisionPtr revIDLastSave="0" documentId="13_ncr:1_{E10C3B17-0DA8-40A7-8890-8A56F0812050}" xr6:coauthVersionLast="45" xr6:coauthVersionMax="45" xr10:uidLastSave="{00000000-0000-0000-0000-000000000000}"/>
  <bookViews>
    <workbookView xWindow="12090" yWindow="0" windowWidth="11835" windowHeight="12885" tabRatio="500" activeTab="2" xr2:uid="{00000000-000D-0000-FFFF-FFFF00000000}"/>
  </bookViews>
  <sheets>
    <sheet name="Tax Return" sheetId="42" r:id="rId1"/>
    <sheet name="Position Statement" sheetId="1" r:id="rId2"/>
    <sheet name="Operating Statement" sheetId="2" r:id="rId3"/>
    <sheet name="Donations" sheetId="43" r:id="rId4"/>
    <sheet name="Events" sheetId="44" r:id="rId5"/>
    <sheet name="CanadaHelps" sheetId="45" r:id="rId6"/>
    <sheet name="Chequing" sheetId="3" r:id="rId7"/>
    <sheet name="Petty Cash" sheetId="4" r:id="rId8"/>
    <sheet name="Deposit Slip" sheetId="6" r:id="rId9"/>
    <sheet name="Deposit Slip (2)" sheetId="7" r:id="rId10"/>
    <sheet name="Deposit Slip (3)" sheetId="8" r:id="rId11"/>
    <sheet name="Deposit Slip (4)" sheetId="9" r:id="rId12"/>
    <sheet name="Deposit Slip (5)" sheetId="10" r:id="rId13"/>
    <sheet name="Net Shed Tally Sheets - 1" sheetId="11" r:id="rId14"/>
    <sheet name="Sheet 2" sheetId="12" r:id="rId15"/>
    <sheet name="Sheet 3" sheetId="13" r:id="rId16"/>
    <sheet name="Sheet 4" sheetId="14" r:id="rId17"/>
    <sheet name="Sheet 5" sheetId="15" r:id="rId18"/>
    <sheet name="Sheet 6" sheetId="16" r:id="rId19"/>
    <sheet name="Sheet 7" sheetId="17" r:id="rId20"/>
    <sheet name="Sheet 8" sheetId="18" r:id="rId21"/>
    <sheet name="Sheet 9" sheetId="19" r:id="rId22"/>
    <sheet name="Sheet 10" sheetId="20" r:id="rId23"/>
    <sheet name="Sheet 11" sheetId="21" r:id="rId24"/>
    <sheet name="Sheet 12" sheetId="22" r:id="rId25"/>
    <sheet name="Sheet 13" sheetId="23" r:id="rId26"/>
    <sheet name="Sheet 14" sheetId="24" r:id="rId27"/>
    <sheet name="Sheet 15" sheetId="25" r:id="rId28"/>
    <sheet name="Sheet 16" sheetId="40" r:id="rId29"/>
    <sheet name="Concert Tally Sheets - 1" sheetId="26" r:id="rId30"/>
    <sheet name="Concert Tally Sheets - 2" sheetId="27" r:id="rId31"/>
    <sheet name="Concert Tally Sheets - 3" sheetId="28" r:id="rId32"/>
    <sheet name="Concert Tally Sheets - 4" sheetId="29" r:id="rId33"/>
    <sheet name="Concert Tally Sheets - 5" sheetId="30" r:id="rId34"/>
    <sheet name="Concert Summary" sheetId="31" r:id="rId35"/>
    <sheet name="Contributions" sheetId="41" r:id="rId36"/>
  </sheets>
  <externalReferences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</externalReferences>
  <definedNames>
    <definedName name="_xlnm.Print_Area" localSheetId="35">Contributions!$E$1:$N$30</definedName>
    <definedName name="_xlnm.Print_Area" localSheetId="2">'Operating Statement'!$A$1:$I$40</definedName>
    <definedName name="_xlnm.Print_Area" localSheetId="1">'Position Statement'!$A$1:$I$47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89" i="45" l="1"/>
  <c r="E3" i="45"/>
  <c r="E159" i="45" s="1"/>
  <c r="S3" i="44"/>
  <c r="T3" i="44"/>
  <c r="S4" i="44"/>
  <c r="T4" i="44"/>
  <c r="S5" i="44"/>
  <c r="T5" i="44"/>
  <c r="S6" i="44"/>
  <c r="T6" i="44"/>
  <c r="S7" i="44"/>
  <c r="T7" i="44"/>
  <c r="S8" i="44"/>
  <c r="T8" i="44"/>
  <c r="S9" i="44"/>
  <c r="T9" i="44"/>
  <c r="S10" i="44"/>
  <c r="T10" i="44"/>
  <c r="S11" i="44"/>
  <c r="T11" i="44"/>
  <c r="S12" i="44"/>
  <c r="T12" i="44"/>
  <c r="S13" i="44"/>
  <c r="T13" i="44"/>
  <c r="S14" i="44"/>
  <c r="T14" i="44"/>
  <c r="C15" i="44"/>
  <c r="D15" i="44"/>
  <c r="E15" i="44"/>
  <c r="F15" i="44"/>
  <c r="G15" i="44"/>
  <c r="H15" i="44"/>
  <c r="I15" i="44"/>
  <c r="J15" i="44"/>
  <c r="K15" i="44"/>
  <c r="L15" i="44"/>
  <c r="M15" i="44"/>
  <c r="N15" i="44"/>
  <c r="O15" i="44"/>
  <c r="P15" i="44"/>
  <c r="Q15" i="44"/>
  <c r="S15" i="44"/>
  <c r="B47" i="42" s="1"/>
  <c r="U15" i="44"/>
  <c r="E23" i="43"/>
  <c r="E22" i="43"/>
  <c r="E20" i="43"/>
  <c r="E19" i="43"/>
  <c r="G16" i="43"/>
  <c r="K15" i="43"/>
  <c r="J15" i="43"/>
  <c r="O14" i="43"/>
  <c r="M14" i="43"/>
  <c r="H14" i="43"/>
  <c r="F14" i="43"/>
  <c r="E14" i="43"/>
  <c r="L14" i="43" s="1"/>
  <c r="O13" i="43"/>
  <c r="M13" i="43"/>
  <c r="F13" i="43"/>
  <c r="E13" i="43"/>
  <c r="O12" i="43"/>
  <c r="M12" i="43"/>
  <c r="H12" i="43"/>
  <c r="G12" i="43"/>
  <c r="F12" i="43"/>
  <c r="E12" i="43"/>
  <c r="O11" i="43"/>
  <c r="M11" i="43"/>
  <c r="G11" i="43"/>
  <c r="F11" i="43"/>
  <c r="E11" i="43"/>
  <c r="O10" i="43"/>
  <c r="M10" i="43"/>
  <c r="H10" i="43"/>
  <c r="G10" i="43"/>
  <c r="F10" i="43"/>
  <c r="L10" i="43" s="1"/>
  <c r="E10" i="43"/>
  <c r="C10" i="43"/>
  <c r="O9" i="43"/>
  <c r="M9" i="43"/>
  <c r="G9" i="43"/>
  <c r="F9" i="43"/>
  <c r="E9" i="43"/>
  <c r="C9" i="43"/>
  <c r="O8" i="43"/>
  <c r="M8" i="43"/>
  <c r="H8" i="43"/>
  <c r="G8" i="43"/>
  <c r="F8" i="43"/>
  <c r="E8" i="43"/>
  <c r="O7" i="43"/>
  <c r="M7" i="43"/>
  <c r="H7" i="43"/>
  <c r="G7" i="43"/>
  <c r="F7" i="43"/>
  <c r="E7" i="43"/>
  <c r="O6" i="43"/>
  <c r="M6" i="43"/>
  <c r="H6" i="43"/>
  <c r="G6" i="43"/>
  <c r="F6" i="43"/>
  <c r="E6" i="43"/>
  <c r="D6" i="43"/>
  <c r="D15" i="43" s="1"/>
  <c r="O5" i="43"/>
  <c r="M5" i="43"/>
  <c r="H5" i="43"/>
  <c r="G5" i="43"/>
  <c r="F5" i="43"/>
  <c r="F15" i="43" s="1"/>
  <c r="E5" i="43"/>
  <c r="C5" i="43"/>
  <c r="O4" i="43"/>
  <c r="M4" i="43"/>
  <c r="H4" i="43"/>
  <c r="G4" i="43"/>
  <c r="F4" i="43"/>
  <c r="E4" i="43"/>
  <c r="O3" i="43"/>
  <c r="M3" i="43"/>
  <c r="H3" i="43"/>
  <c r="H15" i="43" s="1"/>
  <c r="G3" i="43"/>
  <c r="G15" i="43" s="1"/>
  <c r="G18" i="43" s="1"/>
  <c r="F3" i="43"/>
  <c r="E3" i="43"/>
  <c r="B88" i="42"/>
  <c r="B87" i="42"/>
  <c r="B81" i="42"/>
  <c r="B80" i="42"/>
  <c r="B73" i="42"/>
  <c r="B72" i="42"/>
  <c r="B71" i="42"/>
  <c r="B66" i="42"/>
  <c r="B63" i="42"/>
  <c r="B58" i="42"/>
  <c r="B57" i="42"/>
  <c r="B55" i="42"/>
  <c r="B53" i="42"/>
  <c r="B49" i="42"/>
  <c r="B46" i="42"/>
  <c r="B42" i="42"/>
  <c r="B41" i="42"/>
  <c r="B40" i="42"/>
  <c r="B39" i="42"/>
  <c r="B36" i="42"/>
  <c r="B35" i="42"/>
  <c r="B32" i="42"/>
  <c r="B26" i="42"/>
  <c r="B23" i="42"/>
  <c r="B27" i="42" s="1"/>
  <c r="B10" i="42"/>
  <c r="B20" i="42" s="1"/>
  <c r="B8" i="42"/>
  <c r="B5" i="42"/>
  <c r="B4" i="42"/>
  <c r="L13" i="43" l="1"/>
  <c r="M15" i="43"/>
  <c r="C15" i="43"/>
  <c r="L9" i="43"/>
  <c r="I9" i="43" s="1"/>
  <c r="L11" i="43"/>
  <c r="T15" i="44"/>
  <c r="T17" i="44" s="1"/>
  <c r="B68" i="42"/>
  <c r="L4" i="43"/>
  <c r="I4" i="43" s="1"/>
  <c r="L7" i="43"/>
  <c r="E15" i="43"/>
  <c r="E17" i="43" s="1"/>
  <c r="L3" i="43"/>
  <c r="P3" i="43" s="1"/>
  <c r="L6" i="43"/>
  <c r="I6" i="43" s="1"/>
  <c r="L8" i="43"/>
  <c r="L12" i="43"/>
  <c r="B51" i="42"/>
  <c r="E51" i="42" s="1"/>
  <c r="P7" i="43"/>
  <c r="I7" i="43"/>
  <c r="P13" i="43"/>
  <c r="I13" i="43"/>
  <c r="P9" i="43"/>
  <c r="P11" i="43"/>
  <c r="I11" i="43"/>
  <c r="P4" i="43"/>
  <c r="I3" i="43"/>
  <c r="P6" i="43"/>
  <c r="P8" i="43"/>
  <c r="I8" i="43"/>
  <c r="P12" i="43"/>
  <c r="I12" i="43"/>
  <c r="I10" i="43"/>
  <c r="P10" i="43"/>
  <c r="I14" i="43"/>
  <c r="P14" i="43"/>
  <c r="L5" i="43"/>
  <c r="N3" i="43"/>
  <c r="N4" i="43" s="1"/>
  <c r="N5" i="43" s="1"/>
  <c r="N6" i="43" s="1"/>
  <c r="N7" i="43" s="1"/>
  <c r="N8" i="43" s="1"/>
  <c r="N9" i="43" s="1"/>
  <c r="N10" i="43" s="1"/>
  <c r="N11" i="43" s="1"/>
  <c r="N12" i="43" s="1"/>
  <c r="N13" i="43" s="1"/>
  <c r="N14" i="43" s="1"/>
  <c r="B77" i="42"/>
  <c r="D68" i="42"/>
  <c r="I5" i="43" l="1"/>
  <c r="P5" i="43"/>
  <c r="L15" i="43"/>
  <c r="I15" i="43" l="1"/>
  <c r="M17" i="43"/>
  <c r="K34" i="2" l="1"/>
  <c r="L35" i="2" s="1"/>
  <c r="K36" i="2"/>
  <c r="L37" i="2" s="1"/>
  <c r="N37" i="2" l="1"/>
  <c r="D33" i="2" l="1"/>
  <c r="K42" i="3"/>
  <c r="F42" i="3"/>
  <c r="F33" i="3" l="1"/>
  <c r="K29" i="3"/>
  <c r="F29" i="3"/>
  <c r="J3" i="6"/>
  <c r="I3" i="6"/>
  <c r="H3" i="6"/>
  <c r="C28" i="7" l="1"/>
  <c r="C9" i="7"/>
  <c r="G31" i="6" l="1"/>
  <c r="C10" i="6"/>
  <c r="C11" i="6"/>
  <c r="C12" i="6"/>
  <c r="C13" i="6"/>
  <c r="C14" i="6"/>
  <c r="C15" i="6"/>
  <c r="C16" i="6"/>
  <c r="C17" i="6"/>
  <c r="C18" i="6"/>
  <c r="C19" i="6"/>
  <c r="J19" i="6" s="1"/>
  <c r="M19" i="6" s="1"/>
  <c r="C20" i="6"/>
  <c r="J20" i="6" s="1"/>
  <c r="C9" i="6"/>
  <c r="G6" i="6"/>
  <c r="F22" i="12"/>
  <c r="F30" i="12"/>
  <c r="F27" i="11"/>
  <c r="J42" i="1"/>
  <c r="J38" i="1"/>
  <c r="J35" i="1"/>
  <c r="J26" i="1"/>
  <c r="P24" i="1"/>
  <c r="I40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5" i="2"/>
  <c r="I14" i="2"/>
  <c r="I13" i="2"/>
  <c r="I12" i="2"/>
  <c r="I11" i="2"/>
  <c r="I10" i="2"/>
  <c r="I9" i="2"/>
  <c r="I8" i="2"/>
  <c r="I7" i="2"/>
  <c r="G35" i="2"/>
  <c r="G33" i="2"/>
  <c r="G32" i="2"/>
  <c r="G31" i="2"/>
  <c r="G29" i="2"/>
  <c r="G28" i="2"/>
  <c r="G27" i="2"/>
  <c r="G26" i="2"/>
  <c r="G25" i="2"/>
  <c r="G21" i="2"/>
  <c r="G19" i="2"/>
  <c r="G18" i="2"/>
  <c r="G13" i="2"/>
  <c r="G12" i="2"/>
  <c r="G11" i="2"/>
  <c r="Q12" i="3"/>
  <c r="F6" i="3"/>
  <c r="D4" i="4"/>
  <c r="J18" i="6"/>
  <c r="M18" i="6" s="1"/>
  <c r="M20" i="6" l="1"/>
  <c r="G24" i="2"/>
  <c r="D19" i="2"/>
  <c r="F39" i="3"/>
  <c r="F58" i="3"/>
  <c r="F9" i="3"/>
  <c r="F66" i="3"/>
  <c r="J17" i="6" l="1"/>
  <c r="M17" i="6" s="1"/>
  <c r="J15" i="6"/>
  <c r="M15" i="6" s="1"/>
  <c r="J14" i="6"/>
  <c r="M14" i="6" s="1"/>
  <c r="M3" i="1" l="1"/>
  <c r="M4" i="1" s="1"/>
  <c r="N4" i="1" s="1"/>
  <c r="G45" i="2"/>
  <c r="AM20" i="41" l="1"/>
  <c r="AM19" i="41"/>
  <c r="AM18" i="41"/>
  <c r="AM22" i="41" s="1"/>
  <c r="AM17" i="41"/>
  <c r="AM16" i="41"/>
  <c r="AM15" i="41"/>
  <c r="AM14" i="41"/>
  <c r="AM13" i="41"/>
  <c r="AM12" i="41"/>
  <c r="AM11" i="41"/>
  <c r="AT10" i="41"/>
  <c r="AQ10" i="41"/>
  <c r="AM10" i="41"/>
  <c r="AF10" i="41"/>
  <c r="AC10" i="41"/>
  <c r="Y10" i="41"/>
  <c r="X10" i="41"/>
  <c r="U10" i="41"/>
  <c r="Q10" i="41"/>
  <c r="N10" i="41"/>
  <c r="J10" i="41"/>
  <c r="G6" i="7" s="1"/>
  <c r="G10" i="41"/>
  <c r="AM9" i="41"/>
  <c r="AM21" i="41" s="1"/>
  <c r="AM23" i="41" s="1"/>
  <c r="Q11" i="3" l="1"/>
  <c r="C10" i="41"/>
  <c r="K30" i="3"/>
  <c r="F30" i="3" s="1"/>
  <c r="C10" i="8" l="1"/>
  <c r="C11" i="8"/>
  <c r="C12" i="8"/>
  <c r="C13" i="8"/>
  <c r="C14" i="8"/>
  <c r="C15" i="8"/>
  <c r="C16" i="8"/>
  <c r="C17" i="8"/>
  <c r="C18" i="8"/>
  <c r="C19" i="8"/>
  <c r="C20" i="8"/>
  <c r="C9" i="8"/>
  <c r="G31" i="9" l="1"/>
  <c r="G6" i="8"/>
  <c r="D32" i="2" l="1"/>
  <c r="F5" i="8" l="1"/>
  <c r="Z19" i="17" l="1"/>
  <c r="Z18" i="17"/>
  <c r="Z17" i="17"/>
  <c r="Z16" i="17"/>
  <c r="Z15" i="17"/>
  <c r="Z14" i="17"/>
  <c r="Z13" i="17"/>
  <c r="Z12" i="17"/>
  <c r="Z11" i="17"/>
  <c r="Z10" i="17"/>
  <c r="Z9" i="17"/>
  <c r="Z8" i="17"/>
  <c r="Z20" i="17" l="1"/>
  <c r="C10" i="7" l="1"/>
  <c r="C11" i="7"/>
  <c r="C12" i="7"/>
  <c r="C13" i="7"/>
  <c r="C14" i="7"/>
  <c r="C15" i="7"/>
  <c r="C16" i="7"/>
  <c r="C17" i="7"/>
  <c r="C18" i="7"/>
  <c r="C19" i="7"/>
  <c r="C20" i="7"/>
  <c r="Z19" i="16" l="1"/>
  <c r="Z18" i="16"/>
  <c r="Z17" i="16"/>
  <c r="Z16" i="16"/>
  <c r="Z15" i="16"/>
  <c r="Z14" i="16"/>
  <c r="Z13" i="16"/>
  <c r="Z12" i="16"/>
  <c r="Z11" i="16"/>
  <c r="Z10" i="16"/>
  <c r="Z9" i="16"/>
  <c r="Z8" i="16"/>
  <c r="Z20" i="16" l="1"/>
  <c r="F19" i="15" l="1"/>
  <c r="F8" i="15"/>
  <c r="C28" i="6" l="1"/>
  <c r="G28" i="6" s="1"/>
  <c r="C28" i="9" l="1"/>
  <c r="C10" i="9"/>
  <c r="C11" i="9"/>
  <c r="C12" i="9"/>
  <c r="C13" i="9"/>
  <c r="C14" i="9"/>
  <c r="C15" i="9"/>
  <c r="C16" i="9"/>
  <c r="C17" i="9"/>
  <c r="C18" i="9"/>
  <c r="C19" i="9"/>
  <c r="C20" i="9"/>
  <c r="C9" i="9"/>
  <c r="F3" i="9"/>
  <c r="E3" i="9"/>
  <c r="G31" i="7" l="1"/>
  <c r="H4" i="7"/>
  <c r="G4" i="7"/>
  <c r="H15" i="3" l="1"/>
  <c r="F27" i="40" l="1"/>
  <c r="F23" i="40"/>
  <c r="F19" i="40"/>
  <c r="F18" i="40"/>
  <c r="F17" i="40"/>
  <c r="F16" i="40"/>
  <c r="F21" i="40" s="1"/>
  <c r="F15" i="40"/>
  <c r="M14" i="40"/>
  <c r="F14" i="40"/>
  <c r="M13" i="40"/>
  <c r="F13" i="40"/>
  <c r="M12" i="40"/>
  <c r="F12" i="40"/>
  <c r="M11" i="40"/>
  <c r="F11" i="40"/>
  <c r="M10" i="40"/>
  <c r="F10" i="40"/>
  <c r="M9" i="40"/>
  <c r="M16" i="40" s="1"/>
  <c r="M18" i="40" s="1"/>
  <c r="F9" i="40"/>
  <c r="M8" i="40"/>
  <c r="D3" i="40"/>
  <c r="F20" i="40" l="1"/>
  <c r="F22" i="40" s="1"/>
  <c r="F24" i="40" s="1"/>
  <c r="Z19" i="11"/>
  <c r="Z18" i="11"/>
  <c r="Z17" i="11"/>
  <c r="Z16" i="11"/>
  <c r="Z15" i="11"/>
  <c r="Z14" i="11"/>
  <c r="Z13" i="11"/>
  <c r="Z12" i="11"/>
  <c r="Z11" i="11"/>
  <c r="Z10" i="11"/>
  <c r="Z9" i="11"/>
  <c r="Z8" i="11"/>
  <c r="Z20" i="11" l="1"/>
  <c r="D6" i="4" s="1"/>
  <c r="F8" i="18" l="1"/>
  <c r="G31" i="10" l="1"/>
  <c r="C28" i="10"/>
  <c r="G31" i="8" l="1"/>
  <c r="G3" i="6" l="1"/>
  <c r="D13" i="31" l="1"/>
  <c r="H6" i="3" l="1"/>
  <c r="D28" i="2" l="1"/>
  <c r="F22" i="1" l="1"/>
  <c r="J22" i="1" s="1"/>
  <c r="M17" i="21" l="1"/>
  <c r="T22" i="10" l="1"/>
  <c r="P10" i="10" l="1"/>
  <c r="T10" i="10" s="1"/>
  <c r="P11" i="10"/>
  <c r="T11" i="10" s="1"/>
  <c r="P12" i="10"/>
  <c r="T12" i="10" s="1"/>
  <c r="P13" i="10"/>
  <c r="T13" i="10" s="1"/>
  <c r="P14" i="10"/>
  <c r="T14" i="10" s="1"/>
  <c r="P15" i="10"/>
  <c r="T15" i="10" s="1"/>
  <c r="P9" i="10"/>
  <c r="T9" i="10" s="1"/>
  <c r="G16" i="10"/>
  <c r="F19" i="22"/>
  <c r="G16" i="9"/>
  <c r="T16" i="10" l="1"/>
  <c r="T18" i="10" s="1"/>
  <c r="D29" i="2"/>
  <c r="F19" i="21" l="1"/>
  <c r="H14" i="3"/>
  <c r="H13" i="3"/>
  <c r="G16" i="8"/>
  <c r="G17" i="8"/>
  <c r="G18" i="8"/>
  <c r="G19" i="8"/>
  <c r="G20" i="8"/>
  <c r="F19" i="13" l="1"/>
  <c r="N16" i="6" l="1"/>
  <c r="F15" i="25"/>
  <c r="F15" i="24"/>
  <c r="F15" i="23"/>
  <c r="F15" i="22"/>
  <c r="F15" i="21"/>
  <c r="F15" i="20"/>
  <c r="F15" i="19"/>
  <c r="F15" i="18"/>
  <c r="F15" i="17"/>
  <c r="F15" i="16"/>
  <c r="F15" i="13"/>
  <c r="F15" i="12"/>
  <c r="F15" i="11"/>
  <c r="G16" i="7"/>
  <c r="F15" i="14"/>
  <c r="F15" i="15"/>
  <c r="G16" i="6" l="1"/>
  <c r="B3" i="31" l="1"/>
  <c r="F26" i="30"/>
  <c r="F17" i="30"/>
  <c r="F16" i="30"/>
  <c r="F15" i="30"/>
  <c r="F20" i="30" s="1"/>
  <c r="M14" i="30"/>
  <c r="F14" i="30"/>
  <c r="M13" i="30"/>
  <c r="F13" i="30"/>
  <c r="M12" i="30"/>
  <c r="F12" i="30"/>
  <c r="M11" i="30"/>
  <c r="F11" i="30"/>
  <c r="M10" i="30"/>
  <c r="F10" i="30"/>
  <c r="F19" i="30" s="1"/>
  <c r="M9" i="30"/>
  <c r="M16" i="30" s="1"/>
  <c r="M18" i="30" s="1"/>
  <c r="F9" i="30"/>
  <c r="M8" i="30"/>
  <c r="D3" i="30"/>
  <c r="F26" i="29"/>
  <c r="F17" i="29"/>
  <c r="F16" i="29"/>
  <c r="F15" i="29"/>
  <c r="M14" i="29"/>
  <c r="F14" i="29"/>
  <c r="M13" i="29"/>
  <c r="F13" i="29"/>
  <c r="M12" i="29"/>
  <c r="F12" i="29"/>
  <c r="M11" i="29"/>
  <c r="F11" i="29"/>
  <c r="M10" i="29"/>
  <c r="F10" i="29"/>
  <c r="M9" i="29"/>
  <c r="F9" i="29"/>
  <c r="F19" i="29" s="1"/>
  <c r="M8" i="29"/>
  <c r="D3" i="29"/>
  <c r="F26" i="28"/>
  <c r="F17" i="28"/>
  <c r="F16" i="28"/>
  <c r="F15" i="28"/>
  <c r="F20" i="28" s="1"/>
  <c r="M14" i="28"/>
  <c r="F14" i="28"/>
  <c r="M13" i="28"/>
  <c r="F13" i="28"/>
  <c r="M12" i="28"/>
  <c r="F12" i="28"/>
  <c r="M11" i="28"/>
  <c r="F11" i="28"/>
  <c r="M10" i="28"/>
  <c r="F10" i="28"/>
  <c r="M9" i="28"/>
  <c r="F9" i="28"/>
  <c r="F19" i="28" s="1"/>
  <c r="M8" i="28"/>
  <c r="M16" i="28" s="1"/>
  <c r="M18" i="28" s="1"/>
  <c r="D3" i="28"/>
  <c r="F26" i="27"/>
  <c r="F18" i="27"/>
  <c r="F17" i="27"/>
  <c r="F16" i="27"/>
  <c r="F15" i="27"/>
  <c r="M14" i="27"/>
  <c r="F14" i="27"/>
  <c r="M13" i="27"/>
  <c r="F13" i="27"/>
  <c r="M12" i="27"/>
  <c r="F12" i="27"/>
  <c r="M11" i="27"/>
  <c r="F11" i="27"/>
  <c r="M10" i="27"/>
  <c r="F10" i="27"/>
  <c r="M9" i="27"/>
  <c r="F9" i="27"/>
  <c r="F19" i="27" s="1"/>
  <c r="M8" i="27"/>
  <c r="M16" i="27" s="1"/>
  <c r="M18" i="27" s="1"/>
  <c r="D3" i="27"/>
  <c r="F26" i="26"/>
  <c r="F18" i="26"/>
  <c r="F17" i="26"/>
  <c r="F16" i="26"/>
  <c r="F15" i="26"/>
  <c r="F20" i="26" s="1"/>
  <c r="M14" i="26"/>
  <c r="F14" i="26"/>
  <c r="M13" i="26"/>
  <c r="F13" i="26"/>
  <c r="M12" i="26"/>
  <c r="F12" i="26"/>
  <c r="M11" i="26"/>
  <c r="F11" i="26"/>
  <c r="M10" i="26"/>
  <c r="F10" i="26"/>
  <c r="M9" i="26"/>
  <c r="F9" i="26"/>
  <c r="M8" i="26"/>
  <c r="M16" i="26" s="1"/>
  <c r="M18" i="26" s="1"/>
  <c r="F8" i="26"/>
  <c r="D3" i="26"/>
  <c r="F27" i="25"/>
  <c r="F23" i="25"/>
  <c r="F19" i="25"/>
  <c r="F18" i="25"/>
  <c r="F17" i="25"/>
  <c r="F16" i="25"/>
  <c r="M14" i="25"/>
  <c r="F14" i="25"/>
  <c r="M13" i="25"/>
  <c r="F13" i="25"/>
  <c r="M12" i="25"/>
  <c r="F12" i="25"/>
  <c r="M11" i="25"/>
  <c r="F11" i="25"/>
  <c r="M10" i="25"/>
  <c r="F10" i="25"/>
  <c r="M9" i="25"/>
  <c r="F9" i="25"/>
  <c r="M8" i="25"/>
  <c r="D3" i="25"/>
  <c r="F27" i="24"/>
  <c r="F23" i="24"/>
  <c r="F18" i="24"/>
  <c r="F17" i="24"/>
  <c r="F16" i="24"/>
  <c r="M14" i="24"/>
  <c r="F14" i="24"/>
  <c r="M13" i="24"/>
  <c r="F13" i="24"/>
  <c r="M12" i="24"/>
  <c r="F12" i="24"/>
  <c r="M11" i="24"/>
  <c r="F11" i="24"/>
  <c r="M10" i="24"/>
  <c r="F10" i="24"/>
  <c r="M9" i="24"/>
  <c r="F9" i="24"/>
  <c r="M8" i="24"/>
  <c r="D3" i="24"/>
  <c r="F30" i="23"/>
  <c r="F27" i="23"/>
  <c r="F23" i="23"/>
  <c r="F19" i="23"/>
  <c r="F18" i="23"/>
  <c r="F17" i="23"/>
  <c r="F16" i="23"/>
  <c r="M14" i="23"/>
  <c r="F14" i="23"/>
  <c r="M13" i="23"/>
  <c r="F13" i="23"/>
  <c r="M12" i="23"/>
  <c r="F12" i="23"/>
  <c r="M11" i="23"/>
  <c r="F11" i="23"/>
  <c r="M10" i="23"/>
  <c r="F10" i="23"/>
  <c r="M9" i="23"/>
  <c r="F9" i="23"/>
  <c r="M8" i="23"/>
  <c r="M16" i="23" s="1"/>
  <c r="M18" i="23" s="1"/>
  <c r="D3" i="23"/>
  <c r="F27" i="22"/>
  <c r="F23" i="22"/>
  <c r="F18" i="22"/>
  <c r="F17" i="22"/>
  <c r="F16" i="22"/>
  <c r="M14" i="22"/>
  <c r="F14" i="22"/>
  <c r="M13" i="22"/>
  <c r="F13" i="22"/>
  <c r="M12" i="22"/>
  <c r="F12" i="22"/>
  <c r="M11" i="22"/>
  <c r="F11" i="22"/>
  <c r="M10" i="22"/>
  <c r="F10" i="22"/>
  <c r="M9" i="22"/>
  <c r="F9" i="22"/>
  <c r="M8" i="22"/>
  <c r="D3" i="22"/>
  <c r="F27" i="21"/>
  <c r="F23" i="21"/>
  <c r="F18" i="21"/>
  <c r="F17" i="21"/>
  <c r="F16" i="21"/>
  <c r="M14" i="21"/>
  <c r="F14" i="21"/>
  <c r="M13" i="21"/>
  <c r="F13" i="21"/>
  <c r="M12" i="21"/>
  <c r="F12" i="21"/>
  <c r="M11" i="21"/>
  <c r="F11" i="21"/>
  <c r="M10" i="21"/>
  <c r="F10" i="21"/>
  <c r="M9" i="21"/>
  <c r="F9" i="21"/>
  <c r="M8" i="21"/>
  <c r="D3" i="21"/>
  <c r="F27" i="20"/>
  <c r="F23" i="20"/>
  <c r="F19" i="20"/>
  <c r="F18" i="20"/>
  <c r="F17" i="20"/>
  <c r="F16" i="20"/>
  <c r="M14" i="20"/>
  <c r="F14" i="20"/>
  <c r="M13" i="20"/>
  <c r="F13" i="20"/>
  <c r="M12" i="20"/>
  <c r="F12" i="20"/>
  <c r="M11" i="20"/>
  <c r="F11" i="20"/>
  <c r="M10" i="20"/>
  <c r="F10" i="20"/>
  <c r="M9" i="20"/>
  <c r="F9" i="20"/>
  <c r="M8" i="20"/>
  <c r="D3" i="20"/>
  <c r="F27" i="19"/>
  <c r="F23" i="19"/>
  <c r="F19" i="19"/>
  <c r="M17" i="19"/>
  <c r="F18" i="19"/>
  <c r="F17" i="19"/>
  <c r="F16" i="19"/>
  <c r="M14" i="19"/>
  <c r="F14" i="19"/>
  <c r="M13" i="19"/>
  <c r="F13" i="19"/>
  <c r="M12" i="19"/>
  <c r="F12" i="19"/>
  <c r="M11" i="19"/>
  <c r="F11" i="19"/>
  <c r="M10" i="19"/>
  <c r="F10" i="19"/>
  <c r="M9" i="19"/>
  <c r="F9" i="19"/>
  <c r="M8" i="19"/>
  <c r="F8" i="19"/>
  <c r="D3" i="19"/>
  <c r="F27" i="18"/>
  <c r="F23" i="18"/>
  <c r="F18" i="18"/>
  <c r="F17" i="18"/>
  <c r="F16" i="18"/>
  <c r="M14" i="18"/>
  <c r="F14" i="18"/>
  <c r="M13" i="18"/>
  <c r="F13" i="18"/>
  <c r="M12" i="18"/>
  <c r="F12" i="18"/>
  <c r="M11" i="18"/>
  <c r="F11" i="18"/>
  <c r="M10" i="18"/>
  <c r="F10" i="18"/>
  <c r="M9" i="18"/>
  <c r="F9" i="18"/>
  <c r="M8" i="18"/>
  <c r="D3" i="18"/>
  <c r="F27" i="17"/>
  <c r="F23" i="17"/>
  <c r="F19" i="17"/>
  <c r="F18" i="17"/>
  <c r="F17" i="17"/>
  <c r="F16" i="17"/>
  <c r="M14" i="17"/>
  <c r="F14" i="17"/>
  <c r="M13" i="17"/>
  <c r="F13" i="17"/>
  <c r="M12" i="17"/>
  <c r="F12" i="17"/>
  <c r="M11" i="17"/>
  <c r="F11" i="17"/>
  <c r="M10" i="17"/>
  <c r="F10" i="17"/>
  <c r="M9" i="17"/>
  <c r="F9" i="17"/>
  <c r="M8" i="17"/>
  <c r="D3" i="17"/>
  <c r="F27" i="16"/>
  <c r="F23" i="16"/>
  <c r="F18" i="16"/>
  <c r="F17" i="16"/>
  <c r="F16" i="16"/>
  <c r="M14" i="16"/>
  <c r="F14" i="16"/>
  <c r="M13" i="16"/>
  <c r="F13" i="16"/>
  <c r="M12" i="16"/>
  <c r="F12" i="16"/>
  <c r="M11" i="16"/>
  <c r="F11" i="16"/>
  <c r="M10" i="16"/>
  <c r="F10" i="16"/>
  <c r="M9" i="16"/>
  <c r="F9" i="16"/>
  <c r="M8" i="16"/>
  <c r="D3" i="16"/>
  <c r="F27" i="15"/>
  <c r="F23" i="15"/>
  <c r="F18" i="15"/>
  <c r="F17" i="15"/>
  <c r="F16" i="15"/>
  <c r="M14" i="15"/>
  <c r="F14" i="15"/>
  <c r="M13" i="15"/>
  <c r="F13" i="15"/>
  <c r="M12" i="15"/>
  <c r="F12" i="15"/>
  <c r="M11" i="15"/>
  <c r="F11" i="15"/>
  <c r="M10" i="15"/>
  <c r="F10" i="15"/>
  <c r="M9" i="15"/>
  <c r="F9" i="15"/>
  <c r="M8" i="15"/>
  <c r="M16" i="15" s="1"/>
  <c r="M18" i="15" s="1"/>
  <c r="D3" i="15"/>
  <c r="F27" i="14"/>
  <c r="F23" i="14"/>
  <c r="F19" i="14"/>
  <c r="F18" i="14"/>
  <c r="F17" i="14"/>
  <c r="F16" i="14"/>
  <c r="M14" i="14"/>
  <c r="F14" i="14"/>
  <c r="M13" i="14"/>
  <c r="F13" i="14"/>
  <c r="M12" i="14"/>
  <c r="F12" i="14"/>
  <c r="M11" i="14"/>
  <c r="F11" i="14"/>
  <c r="M10" i="14"/>
  <c r="F10" i="14"/>
  <c r="M9" i="14"/>
  <c r="F9" i="14"/>
  <c r="M8" i="14"/>
  <c r="D3" i="14"/>
  <c r="F27" i="13"/>
  <c r="F23" i="13"/>
  <c r="F18" i="13"/>
  <c r="F17" i="13"/>
  <c r="F16" i="13"/>
  <c r="M14" i="13"/>
  <c r="F14" i="13"/>
  <c r="M13" i="13"/>
  <c r="F13" i="13"/>
  <c r="M12" i="13"/>
  <c r="F12" i="13"/>
  <c r="M11" i="13"/>
  <c r="F11" i="13"/>
  <c r="M10" i="13"/>
  <c r="F10" i="13"/>
  <c r="M9" i="13"/>
  <c r="F9" i="13"/>
  <c r="M8" i="13"/>
  <c r="F8" i="13"/>
  <c r="D3" i="13"/>
  <c r="F27" i="12"/>
  <c r="F23" i="12"/>
  <c r="F19" i="12"/>
  <c r="F18" i="12"/>
  <c r="F17" i="12"/>
  <c r="F16" i="12"/>
  <c r="M14" i="12"/>
  <c r="F14" i="12"/>
  <c r="M13" i="12"/>
  <c r="F13" i="12"/>
  <c r="M12" i="12"/>
  <c r="F12" i="12"/>
  <c r="M11" i="12"/>
  <c r="F11" i="12"/>
  <c r="M10" i="12"/>
  <c r="F10" i="12"/>
  <c r="M9" i="12"/>
  <c r="F9" i="12"/>
  <c r="M8" i="12"/>
  <c r="M16" i="12" s="1"/>
  <c r="M18" i="12" s="1"/>
  <c r="D3" i="12"/>
  <c r="F23" i="11"/>
  <c r="F10" i="3" s="1"/>
  <c r="F19" i="11"/>
  <c r="F18" i="11"/>
  <c r="F17" i="11"/>
  <c r="F16" i="11"/>
  <c r="M14" i="11"/>
  <c r="F14" i="11"/>
  <c r="M13" i="11"/>
  <c r="F13" i="11"/>
  <c r="M12" i="11"/>
  <c r="F12" i="11"/>
  <c r="M11" i="11"/>
  <c r="F11" i="11"/>
  <c r="M10" i="11"/>
  <c r="F10" i="11"/>
  <c r="M9" i="11"/>
  <c r="F9" i="11"/>
  <c r="M8" i="11"/>
  <c r="F8" i="11"/>
  <c r="D3" i="11"/>
  <c r="G28" i="10"/>
  <c r="G13" i="10"/>
  <c r="G12" i="10"/>
  <c r="G11" i="10"/>
  <c r="G10" i="10"/>
  <c r="G9" i="10"/>
  <c r="G28" i="9"/>
  <c r="G20" i="9"/>
  <c r="G19" i="9"/>
  <c r="G18" i="9"/>
  <c r="G17" i="9"/>
  <c r="P15" i="9"/>
  <c r="T15" i="9" s="1"/>
  <c r="G15" i="9"/>
  <c r="P14" i="9"/>
  <c r="T14" i="9" s="1"/>
  <c r="G14" i="9"/>
  <c r="P13" i="9"/>
  <c r="T13" i="9" s="1"/>
  <c r="G13" i="9"/>
  <c r="P12" i="9"/>
  <c r="T12" i="9" s="1"/>
  <c r="G12" i="9"/>
  <c r="P11" i="9"/>
  <c r="T11" i="9" s="1"/>
  <c r="G11" i="9"/>
  <c r="P10" i="9"/>
  <c r="T10" i="9" s="1"/>
  <c r="G10" i="9"/>
  <c r="P9" i="9"/>
  <c r="T9" i="9" s="1"/>
  <c r="G9" i="9"/>
  <c r="G28" i="8"/>
  <c r="T17" i="8"/>
  <c r="M17" i="18" s="1"/>
  <c r="P15" i="8"/>
  <c r="T15" i="8" s="1"/>
  <c r="G15" i="8"/>
  <c r="P14" i="8"/>
  <c r="T14" i="8" s="1"/>
  <c r="G14" i="8"/>
  <c r="P13" i="8"/>
  <c r="T13" i="8" s="1"/>
  <c r="G13" i="8"/>
  <c r="P12" i="8"/>
  <c r="T12" i="8" s="1"/>
  <c r="G12" i="8"/>
  <c r="P11" i="8"/>
  <c r="T11" i="8" s="1"/>
  <c r="G11" i="8"/>
  <c r="P10" i="8"/>
  <c r="T10" i="8" s="1"/>
  <c r="G10" i="8"/>
  <c r="P9" i="8"/>
  <c r="T9" i="8" s="1"/>
  <c r="G9" i="8"/>
  <c r="G28" i="7"/>
  <c r="G20" i="7"/>
  <c r="G19" i="7"/>
  <c r="G17" i="7"/>
  <c r="T15" i="7"/>
  <c r="G15" i="7"/>
  <c r="T14" i="7"/>
  <c r="G14" i="7"/>
  <c r="T13" i="7"/>
  <c r="G13" i="7"/>
  <c r="T12" i="7"/>
  <c r="G12" i="7"/>
  <c r="T11" i="7"/>
  <c r="G11" i="7"/>
  <c r="T10" i="7"/>
  <c r="G10" i="7"/>
  <c r="T9" i="7"/>
  <c r="G9" i="7"/>
  <c r="P15" i="6"/>
  <c r="T15" i="6" s="1"/>
  <c r="P14" i="6"/>
  <c r="T14" i="6" s="1"/>
  <c r="P13" i="6"/>
  <c r="T13" i="6" s="1"/>
  <c r="G13" i="6"/>
  <c r="P12" i="6"/>
  <c r="T12" i="6" s="1"/>
  <c r="G12" i="6"/>
  <c r="P11" i="6"/>
  <c r="T11" i="6" s="1"/>
  <c r="G11" i="6"/>
  <c r="T10" i="6"/>
  <c r="G10" i="6"/>
  <c r="P9" i="6"/>
  <c r="T9" i="6" s="1"/>
  <c r="G9" i="6"/>
  <c r="D27" i="4"/>
  <c r="J22" i="4"/>
  <c r="I22" i="4"/>
  <c r="D21" i="4" s="1"/>
  <c r="D22" i="4" s="1"/>
  <c r="H22" i="4"/>
  <c r="D12" i="4"/>
  <c r="F62" i="3"/>
  <c r="F53" i="3"/>
  <c r="L47" i="3"/>
  <c r="F46" i="3" s="1"/>
  <c r="D36" i="2" s="1"/>
  <c r="G36" i="2" s="1"/>
  <c r="J47" i="3"/>
  <c r="F45" i="3" s="1"/>
  <c r="D35" i="2" s="1"/>
  <c r="F26" i="3"/>
  <c r="O13" i="3"/>
  <c r="H12" i="3"/>
  <c r="H11" i="3"/>
  <c r="A3" i="3"/>
  <c r="D31" i="2"/>
  <c r="D26" i="2"/>
  <c r="D25" i="2"/>
  <c r="D22" i="2"/>
  <c r="G22" i="2" s="1"/>
  <c r="D21" i="2"/>
  <c r="D20" i="2"/>
  <c r="G20" i="2" s="1"/>
  <c r="D18" i="2"/>
  <c r="D13" i="2"/>
  <c r="F3" i="2"/>
  <c r="F12" i="1"/>
  <c r="F20" i="15" l="1"/>
  <c r="D9" i="2"/>
  <c r="G9" i="2" s="1"/>
  <c r="D8" i="2"/>
  <c r="G8" i="2" s="1"/>
  <c r="F20" i="18"/>
  <c r="F38" i="1"/>
  <c r="F21" i="25"/>
  <c r="F20" i="24"/>
  <c r="F21" i="20"/>
  <c r="M16" i="29"/>
  <c r="M18" i="29" s="1"/>
  <c r="F19" i="26"/>
  <c r="F20" i="29"/>
  <c r="M16" i="17"/>
  <c r="M18" i="17" s="1"/>
  <c r="M16" i="19"/>
  <c r="M16" i="22"/>
  <c r="M18" i="22" s="1"/>
  <c r="M16" i="24"/>
  <c r="M18" i="24" s="1"/>
  <c r="D23" i="2"/>
  <c r="G23" i="2" s="1"/>
  <c r="M16" i="11"/>
  <c r="M18" i="11" s="1"/>
  <c r="M16" i="16"/>
  <c r="M18" i="16" s="1"/>
  <c r="F21" i="24"/>
  <c r="F20" i="27"/>
  <c r="F21" i="19"/>
  <c r="M16" i="21"/>
  <c r="M18" i="21" s="1"/>
  <c r="F20" i="20"/>
  <c r="F21" i="15"/>
  <c r="F20" i="21"/>
  <c r="G22" i="9"/>
  <c r="M16" i="25"/>
  <c r="M18" i="25" s="1"/>
  <c r="F20" i="25"/>
  <c r="F20" i="23"/>
  <c r="F21" i="23"/>
  <c r="F20" i="22"/>
  <c r="F21" i="22"/>
  <c r="F21" i="21"/>
  <c r="M16" i="20"/>
  <c r="M18" i="20" s="1"/>
  <c r="F20" i="19"/>
  <c r="M16" i="18"/>
  <c r="F21" i="18"/>
  <c r="F20" i="17"/>
  <c r="F21" i="17"/>
  <c r="F20" i="16"/>
  <c r="F21" i="16"/>
  <c r="F21" i="13"/>
  <c r="M16" i="13"/>
  <c r="M18" i="13" s="1"/>
  <c r="F21" i="12"/>
  <c r="M16" i="14"/>
  <c r="M18" i="14" s="1"/>
  <c r="F21" i="14"/>
  <c r="F20" i="14"/>
  <c r="F20" i="13"/>
  <c r="F20" i="12"/>
  <c r="F21" i="11"/>
  <c r="G21" i="9"/>
  <c r="G21" i="7"/>
  <c r="G19" i="6"/>
  <c r="G18" i="6"/>
  <c r="Q10" i="3"/>
  <c r="F20" i="11"/>
  <c r="T16" i="7"/>
  <c r="T18" i="7" s="1"/>
  <c r="G21" i="8"/>
  <c r="T16" i="6"/>
  <c r="T18" i="6" s="1"/>
  <c r="T16" i="8"/>
  <c r="T18" i="8" s="1"/>
  <c r="M18" i="19"/>
  <c r="D30" i="2"/>
  <c r="G30" i="2" s="1"/>
  <c r="F21" i="28"/>
  <c r="F21" i="30"/>
  <c r="T16" i="9"/>
  <c r="T18" i="9" s="1"/>
  <c r="F21" i="26"/>
  <c r="F21" i="27"/>
  <c r="M18" i="18"/>
  <c r="F21" i="29"/>
  <c r="F68" i="3"/>
  <c r="G14" i="6"/>
  <c r="G15" i="6"/>
  <c r="G17" i="6"/>
  <c r="G20" i="6"/>
  <c r="G18" i="7"/>
  <c r="G22" i="7" s="1"/>
  <c r="G15" i="10"/>
  <c r="G18" i="10"/>
  <c r="G20" i="10"/>
  <c r="G14" i="10"/>
  <c r="G17" i="10"/>
  <c r="G19" i="10"/>
  <c r="F22" i="24" l="1"/>
  <c r="F24" i="24" s="1"/>
  <c r="F22" i="23"/>
  <c r="F24" i="23" s="1"/>
  <c r="F22" i="25"/>
  <c r="F24" i="25" s="1"/>
  <c r="F22" i="22"/>
  <c r="F24" i="22" s="1"/>
  <c r="F22" i="20"/>
  <c r="F24" i="20" s="1"/>
  <c r="F22" i="17"/>
  <c r="F24" i="17" s="1"/>
  <c r="F22" i="21"/>
  <c r="F24" i="21" s="1"/>
  <c r="F22" i="19"/>
  <c r="F24" i="19" s="1"/>
  <c r="F22" i="18"/>
  <c r="F24" i="18" s="1"/>
  <c r="G23" i="9"/>
  <c r="F22" i="16"/>
  <c r="F24" i="16" s="1"/>
  <c r="F24" i="12"/>
  <c r="F22" i="13"/>
  <c r="F24" i="13" s="1"/>
  <c r="F22" i="15"/>
  <c r="F22" i="14"/>
  <c r="F24" i="14" s="1"/>
  <c r="G23" i="7"/>
  <c r="F22" i="11"/>
  <c r="F24" i="11" s="1"/>
  <c r="Q13" i="3"/>
  <c r="S13" i="3" s="1"/>
  <c r="U13" i="3" s="1"/>
  <c r="G22" i="10"/>
  <c r="F26" i="1"/>
  <c r="G21" i="10"/>
  <c r="G22" i="8"/>
  <c r="G23" i="8" s="1"/>
  <c r="G22" i="6"/>
  <c r="G21" i="6"/>
  <c r="D10" i="2"/>
  <c r="G10" i="2" s="1"/>
  <c r="D3" i="31"/>
  <c r="D9" i="31" s="1"/>
  <c r="D11" i="31" s="1"/>
  <c r="S27" i="1" l="1"/>
  <c r="P27" i="1"/>
  <c r="G23" i="10"/>
  <c r="F24" i="15"/>
  <c r="D7" i="2" s="1"/>
  <c r="G7" i="2" s="1"/>
  <c r="G23" i="6"/>
  <c r="J9" i="3"/>
  <c r="K9" i="3" s="1"/>
  <c r="D15" i="2" l="1"/>
  <c r="G15" i="2" s="1"/>
  <c r="K47" i="3"/>
  <c r="F44" i="3" s="1"/>
  <c r="D34" i="2" s="1"/>
  <c r="G34" i="2" s="1"/>
  <c r="D27" i="2"/>
  <c r="D38" i="2" l="1"/>
  <c r="G38" i="2" s="1"/>
  <c r="F47" i="3"/>
  <c r="D40" i="2" l="1"/>
  <c r="M40" i="2"/>
  <c r="M39" i="2"/>
  <c r="H47" i="3"/>
  <c r="G40" i="2" l="1"/>
  <c r="J46" i="1"/>
  <c r="P25" i="1"/>
  <c r="S24" i="1" l="1"/>
  <c r="K15" i="2" l="1"/>
  <c r="L15" i="2" s="1"/>
  <c r="G43" i="2"/>
  <c r="H43" i="2" l="1"/>
  <c r="K20" i="6" l="1"/>
  <c r="D29" i="4" l="1"/>
  <c r="F18" i="1" s="1"/>
  <c r="J18" i="1" s="1"/>
  <c r="P29" i="1" l="1"/>
  <c r="F42" i="1" l="1"/>
  <c r="P26" i="1" l="1"/>
  <c r="S26" i="1" l="1"/>
  <c r="P28" i="1"/>
  <c r="P30" i="1" s="1"/>
  <c r="S28" i="1"/>
  <c r="N20" i="6" l="1"/>
  <c r="J20" i="7"/>
  <c r="K20" i="7" l="1"/>
  <c r="M20" i="7"/>
  <c r="J20" i="8" s="1"/>
  <c r="N20" i="7" l="1"/>
  <c r="K20" i="8" l="1"/>
  <c r="M20" i="8"/>
  <c r="N20" i="8" l="1"/>
  <c r="J20" i="9"/>
  <c r="K20" i="9" l="1"/>
  <c r="M20" i="9"/>
  <c r="J20" i="10" l="1"/>
  <c r="N20" i="9"/>
  <c r="K20" i="10" l="1"/>
  <c r="M20" i="10"/>
  <c r="N20" i="10" l="1"/>
  <c r="K19" i="6" l="1"/>
  <c r="N19" i="6" l="1"/>
  <c r="J19" i="7"/>
  <c r="K19" i="7" l="1"/>
  <c r="M19" i="7"/>
  <c r="J19" i="8" l="1"/>
  <c r="N19" i="7"/>
  <c r="M19" i="8" l="1"/>
  <c r="K19" i="8"/>
  <c r="N19" i="8" l="1"/>
  <c r="J19" i="9"/>
  <c r="K19" i="9" l="1"/>
  <c r="M19" i="9"/>
  <c r="N19" i="9" l="1"/>
  <c r="J19" i="10"/>
  <c r="M19" i="10" l="1"/>
  <c r="K19" i="10"/>
  <c r="N19" i="10" l="1"/>
  <c r="K18" i="6" l="1"/>
  <c r="N18" i="6" l="1"/>
  <c r="J18" i="7"/>
  <c r="M18" i="7" l="1"/>
  <c r="K18" i="7"/>
  <c r="J18" i="8" l="1"/>
  <c r="N18" i="7"/>
  <c r="K18" i="8" l="1"/>
  <c r="M18" i="8"/>
  <c r="N18" i="8" l="1"/>
  <c r="J18" i="9"/>
  <c r="M18" i="9" l="1"/>
  <c r="K18" i="9"/>
  <c r="J18" i="10" l="1"/>
  <c r="N18" i="9"/>
  <c r="K18" i="10" l="1"/>
  <c r="M18" i="10"/>
  <c r="N18" i="10" l="1"/>
  <c r="K17" i="6" l="1"/>
  <c r="K24" i="6" s="1"/>
  <c r="J17" i="7" l="1"/>
  <c r="N17" i="6"/>
  <c r="M17" i="7" l="1"/>
  <c r="K17" i="7"/>
  <c r="K23" i="7" s="1"/>
  <c r="J17" i="8" l="1"/>
  <c r="N17" i="7"/>
  <c r="M17" i="8" l="1"/>
  <c r="K17" i="8"/>
  <c r="K23" i="8" s="1"/>
  <c r="J17" i="9" l="1"/>
  <c r="N17" i="8"/>
  <c r="M17" i="9" l="1"/>
  <c r="K17" i="9"/>
  <c r="K23" i="9" s="1"/>
  <c r="N17" i="9" l="1"/>
  <c r="J17" i="10"/>
  <c r="M17" i="10" l="1"/>
  <c r="N17" i="10" s="1"/>
  <c r="K17" i="10"/>
  <c r="K23" i="10" s="1"/>
  <c r="K14" i="6"/>
  <c r="J14" i="7"/>
  <c r="N14" i="6"/>
  <c r="J15" i="7"/>
  <c r="K15" i="6"/>
  <c r="K15" i="7" l="1"/>
  <c r="M15" i="7"/>
  <c r="K22" i="6"/>
  <c r="G24" i="6" s="1"/>
  <c r="F11" i="3" s="1"/>
  <c r="N15" i="6"/>
  <c r="N22" i="6" s="1"/>
  <c r="M14" i="7"/>
  <c r="K14" i="7"/>
  <c r="K21" i="7" l="1"/>
  <c r="G24" i="7" s="1"/>
  <c r="F12" i="3" s="1"/>
  <c r="N15" i="7"/>
  <c r="J15" i="8"/>
  <c r="N14" i="7"/>
  <c r="J14" i="8"/>
  <c r="N21" i="7" l="1"/>
  <c r="K15" i="8"/>
  <c r="M15" i="8"/>
  <c r="M14" i="8"/>
  <c r="K14" i="8"/>
  <c r="K21" i="8" l="1"/>
  <c r="G24" i="8" s="1"/>
  <c r="F13" i="3" s="1"/>
  <c r="J15" i="9"/>
  <c r="N15" i="8"/>
  <c r="J14" i="9"/>
  <c r="N14" i="8"/>
  <c r="N21" i="8" l="1"/>
  <c r="M15" i="9"/>
  <c r="K15" i="9"/>
  <c r="K14" i="9"/>
  <c r="M14" i="9"/>
  <c r="K21" i="9" l="1"/>
  <c r="G24" i="9" s="1"/>
  <c r="F14" i="3" s="1"/>
  <c r="N15" i="9"/>
  <c r="J15" i="10"/>
  <c r="N14" i="9"/>
  <c r="J14" i="10"/>
  <c r="N21" i="9" l="1"/>
  <c r="M15" i="10"/>
  <c r="N15" i="10" s="1"/>
  <c r="K15" i="10"/>
  <c r="K14" i="10"/>
  <c r="M14" i="10"/>
  <c r="N14" i="10" s="1"/>
  <c r="K21" i="10" l="1"/>
  <c r="G24" i="10" s="1"/>
  <c r="F15" i="3" s="1"/>
  <c r="N21" i="10"/>
  <c r="F20" i="1" s="1"/>
  <c r="J20" i="1" s="1"/>
  <c r="F19" i="3" l="1"/>
  <c r="S29" i="1" l="1"/>
  <c r="P18" i="2"/>
  <c r="H19" i="3"/>
  <c r="F55" i="3"/>
  <c r="D43" i="2" s="1"/>
  <c r="P15" i="2"/>
  <c r="P16" i="2"/>
  <c r="H55" i="3" l="1"/>
  <c r="D45" i="2"/>
  <c r="F9" i="1"/>
  <c r="F7" i="1" s="1"/>
  <c r="J7" i="1" s="1"/>
  <c r="P20" i="2"/>
  <c r="Q21" i="2" s="1"/>
  <c r="S25" i="1" l="1"/>
  <c r="U25" i="1" s="1"/>
  <c r="E43" i="2"/>
  <c r="F24" i="1"/>
  <c r="J24" i="1" s="1"/>
  <c r="S30" i="1" l="1"/>
  <c r="U30" i="1" s="1"/>
  <c r="F30" i="1"/>
  <c r="J30" i="1" s="1"/>
  <c r="L30" i="1" l="1"/>
  <c r="F46" i="1"/>
  <c r="N46" i="1" s="1"/>
  <c r="P46" i="1" s="1"/>
  <c r="J48" i="1" l="1"/>
  <c r="K4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Dinah</author>
  </authors>
  <commentList>
    <comment ref="E51" authorId="0" shapeId="0" xr:uid="{7D3518C7-F9C8-419D-8BBF-2B1B81833ECA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$70 receivable at start of year, $120 receivable at end of year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Brown</author>
    <author>Dinah</author>
  </authors>
  <commentList>
    <comment ref="C5" authorId="0" shapeId="0" xr:uid="{8C063382-F1EA-4584-B4BC-28240782EAAB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PayPal Giving Fund</t>
        </r>
      </text>
    </comment>
    <comment ref="C9" authorId="0" shapeId="0" xr:uid="{71A15BFB-DDBE-40A3-B30B-DF6083368A36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PayPal Giving Fund</t>
        </r>
      </text>
    </comment>
    <comment ref="C10" authorId="0" shapeId="0" xr:uid="{CB387CC0-B73D-4C92-AB64-1E8F949903C8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TD Private Giving Foundation</t>
        </r>
      </text>
    </comment>
    <comment ref="G11" authorId="0" shapeId="0" xr:uid="{09926149-3B00-41CE-8DA4-FDE49A22260B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Added meridian bank donation of $1750</t>
        </r>
      </text>
    </comment>
    <comment ref="H12" authorId="1" shapeId="0" xr:uid="{1E6128B4-A3B9-43E7-8621-6D3FA6AA058D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Calendar Sales</t>
        </r>
      </text>
    </comment>
    <comment ref="G16" authorId="1" shapeId="0" xr:uid="{5F03D3E3-BEFF-453E-805E-640EF19763BC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Events
</t>
        </r>
      </text>
    </comment>
    <comment ref="E17" authorId="0" shapeId="0" xr:uid="{B7A57513-4476-403C-9D1F-63C1B91EF530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received from CanadaHelps. Not recorded in the database</t>
        </r>
      </text>
    </comment>
    <comment ref="M17" authorId="1" shapeId="0" xr:uid="{71C2ED46-2D1B-4577-BB60-A54276DC0C18}">
      <text>
        <r>
          <rPr>
            <b/>
            <sz val="9"/>
            <color indexed="81"/>
            <rFont val="Tahoma"/>
            <charset val="1"/>
          </rPr>
          <t>Dinah:</t>
        </r>
        <r>
          <rPr>
            <sz val="9"/>
            <color indexed="81"/>
            <rFont val="Tahoma"/>
            <charset val="1"/>
          </rPr>
          <t xml:space="preserve">
$70 receivable at start of year, $120 receivable at end of year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Jim Brown</author>
  </authors>
  <commentList>
    <comment ref="E3" authorId="0" shapeId="0" xr:uid="{6BA63359-D7E4-46D9-B734-4BE4C9BEACEC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Incorrectly stated as $30 in database.</t>
        </r>
      </text>
    </comment>
    <comment ref="E89" authorId="0" shapeId="0" xr:uid="{95A49DAA-1735-46AC-AC22-F73E77AE34F9}">
      <text>
        <r>
          <rPr>
            <b/>
            <sz val="9"/>
            <color indexed="81"/>
            <rFont val="Tahoma"/>
            <charset val="1"/>
          </rPr>
          <t>Jim Brown:</t>
        </r>
        <r>
          <rPr>
            <sz val="9"/>
            <color indexed="81"/>
            <rFont val="Tahoma"/>
            <charset val="1"/>
          </rPr>
          <t xml:space="preserve">
Incorrectly stated in the database.</t>
        </r>
      </text>
    </comment>
  </commentList>
</comments>
</file>

<file path=xl/sharedStrings.xml><?xml version="1.0" encoding="utf-8"?>
<sst xmlns="http://schemas.openxmlformats.org/spreadsheetml/2006/main" count="2378" uniqueCount="362">
  <si>
    <t>Friends of Meaford Library</t>
  </si>
  <si>
    <t>Position Statement</t>
  </si>
  <si>
    <t>Assets</t>
  </si>
  <si>
    <t>M/M Change</t>
  </si>
  <si>
    <t>Bank Accounts</t>
  </si>
  <si>
    <t>Chequing</t>
  </si>
  <si>
    <t>Savings</t>
  </si>
  <si>
    <t>GICs</t>
  </si>
  <si>
    <t>Home Trust</t>
  </si>
  <si>
    <t>TD 100 Day</t>
  </si>
  <si>
    <t>Petty Cash</t>
  </si>
  <si>
    <t>Cash on Hand</t>
  </si>
  <si>
    <t>Float</t>
  </si>
  <si>
    <t>Total Cash</t>
  </si>
  <si>
    <t>Prev Assets</t>
  </si>
  <si>
    <t>Net Profit</t>
  </si>
  <si>
    <t>D Chq</t>
  </si>
  <si>
    <t>Receivables</t>
  </si>
  <si>
    <t>D Liab</t>
  </si>
  <si>
    <t>D Rec</t>
  </si>
  <si>
    <t>D Float</t>
  </si>
  <si>
    <t>D CoH</t>
  </si>
  <si>
    <t>Total Assets</t>
  </si>
  <si>
    <t>Liabilities</t>
  </si>
  <si>
    <t>Building Fund Escrow</t>
  </si>
  <si>
    <t>Pledged to Building Fund</t>
  </si>
  <si>
    <t>Business Challenge</t>
  </si>
  <si>
    <t>Payables</t>
  </si>
  <si>
    <t>Total Liabilities</t>
  </si>
  <si>
    <t>Net Assets</t>
  </si>
  <si>
    <t>Operating Statement</t>
  </si>
  <si>
    <t>Revenues</t>
  </si>
  <si>
    <t>YTD</t>
  </si>
  <si>
    <t>YTD Previous</t>
  </si>
  <si>
    <t>Neither Payables nor Receivables should be included on this sheet</t>
  </si>
  <si>
    <t>Net Shed</t>
  </si>
  <si>
    <t>But Received Receivables and Paid Payables should appear.</t>
  </si>
  <si>
    <t>Memberships</t>
  </si>
  <si>
    <t>Donations</t>
  </si>
  <si>
    <t>Concert</t>
  </si>
  <si>
    <t>Events</t>
  </si>
  <si>
    <t>Interest</t>
  </si>
  <si>
    <t>HST Rebate</t>
  </si>
  <si>
    <t>Prepaid Exp</t>
  </si>
  <si>
    <t>Total</t>
  </si>
  <si>
    <t>Bank Deposits plus</t>
  </si>
  <si>
    <t>Cash on hand</t>
  </si>
  <si>
    <t>Expenses</t>
  </si>
  <si>
    <t>Lawn Maintenance</t>
  </si>
  <si>
    <t>Volunteer Appreciation</t>
  </si>
  <si>
    <t>Minus</t>
  </si>
  <si>
    <t>Newspapers</t>
  </si>
  <si>
    <t>Insurance</t>
  </si>
  <si>
    <t>Bank Charges</t>
  </si>
  <si>
    <t>CanadaHelps Fee</t>
  </si>
  <si>
    <t>Office Supplies</t>
  </si>
  <si>
    <t>Library Equipment</t>
  </si>
  <si>
    <t>Inter Library Loan Postage</t>
  </si>
  <si>
    <t>Phone/Internet</t>
  </si>
  <si>
    <t>Web Hosting</t>
  </si>
  <si>
    <t>Postage/Shipping</t>
  </si>
  <si>
    <t>PinPad</t>
  </si>
  <si>
    <t>Advertising</t>
  </si>
  <si>
    <t>Event Expenses</t>
  </si>
  <si>
    <t>Miscellaneous</t>
  </si>
  <si>
    <t>HST</t>
  </si>
  <si>
    <t>PST</t>
  </si>
  <si>
    <t>GST</t>
  </si>
  <si>
    <t>Net Profit (Loss)</t>
  </si>
  <si>
    <t>TD Chequing Account</t>
  </si>
  <si>
    <t>Opening  balance</t>
  </si>
  <si>
    <t>CH Revenue</t>
  </si>
  <si>
    <t>CH Fees</t>
  </si>
  <si>
    <t>Revenue</t>
  </si>
  <si>
    <t>Canada Helps</t>
  </si>
  <si>
    <t>PinPad Revenue</t>
  </si>
  <si>
    <t>This month's payables</t>
  </si>
  <si>
    <t>Cash Deposit</t>
  </si>
  <si>
    <t>Last months payables</t>
  </si>
  <si>
    <t>Transfers</t>
  </si>
  <si>
    <t>From Petty cash</t>
  </si>
  <si>
    <t>From GIC</t>
  </si>
  <si>
    <t>Chq #</t>
  </si>
  <si>
    <t>PST 8%</t>
  </si>
  <si>
    <t>HST 13%</t>
  </si>
  <si>
    <t>GST 5%</t>
  </si>
  <si>
    <t>PinPad Rental</t>
  </si>
  <si>
    <t>Phone</t>
  </si>
  <si>
    <t>Bell Mobility</t>
  </si>
  <si>
    <t>Bank Fees</t>
  </si>
  <si>
    <t>Internet</t>
  </si>
  <si>
    <t>CanadaHelps Fees</t>
  </si>
  <si>
    <t>Postage</t>
  </si>
  <si>
    <t>IL Loan Postage</t>
  </si>
  <si>
    <t>Misc</t>
  </si>
  <si>
    <t>To GIC</t>
  </si>
  <si>
    <t>Closing Balance</t>
  </si>
  <si>
    <t>CH</t>
  </si>
  <si>
    <t>Petty Cash to Facilitate Building Fund Campaign</t>
  </si>
  <si>
    <t>Opening balance</t>
  </si>
  <si>
    <t>Contribution</t>
  </si>
  <si>
    <t>To Chequing</t>
  </si>
  <si>
    <t>Cheques</t>
  </si>
  <si>
    <t>Cash</t>
  </si>
  <si>
    <t>Date:</t>
  </si>
  <si>
    <t>Revenues Included:</t>
  </si>
  <si>
    <t>Building Fund</t>
  </si>
  <si>
    <t>$CDN</t>
  </si>
  <si>
    <t>$US</t>
  </si>
  <si>
    <t>X</t>
  </si>
  <si>
    <t>=</t>
  </si>
  <si>
    <t>Rolled Coins</t>
  </si>
  <si>
    <t>Unrolled coins</t>
  </si>
  <si>
    <t>Total $US</t>
  </si>
  <si>
    <t>Conv Rate</t>
  </si>
  <si>
    <t>Total $CDN</t>
  </si>
  <si>
    <t>Total Bills</t>
  </si>
  <si>
    <t>Total Coin</t>
  </si>
  <si>
    <t>Deposit</t>
  </si>
  <si>
    <t>Included in totals above</t>
  </si>
  <si>
    <t>$US cheque</t>
  </si>
  <si>
    <t>Total Revenue</t>
  </si>
  <si>
    <t>Net Shed Tally Sheet</t>
  </si>
  <si>
    <t>Date</t>
  </si>
  <si>
    <t>PinPad Sales</t>
  </si>
  <si>
    <t>Transaction ID</t>
  </si>
  <si>
    <t>Amount</t>
  </si>
  <si>
    <t>CDN</t>
  </si>
  <si>
    <t>Grand Total</t>
  </si>
  <si>
    <t>Concert Tally Sheet</t>
  </si>
  <si>
    <t>Monthly Total</t>
  </si>
  <si>
    <t>YTD Total</t>
  </si>
  <si>
    <t>Prev Year Total</t>
  </si>
  <si>
    <t>Donations by Cheque</t>
  </si>
  <si>
    <t>Debit/Credit Card Donations</t>
  </si>
  <si>
    <t>Canada Helps Donations</t>
  </si>
  <si>
    <t>Cash Donations</t>
  </si>
  <si>
    <t>Cash Tally Sheet</t>
  </si>
  <si>
    <t>Trans ID</t>
  </si>
  <si>
    <t>Fees</t>
  </si>
  <si>
    <t>Totals</t>
  </si>
  <si>
    <t>Donor Name</t>
  </si>
  <si>
    <t>*</t>
  </si>
  <si>
    <t>receivable</t>
  </si>
  <si>
    <t>EFT Donations</t>
  </si>
  <si>
    <t>Coin Deposit</t>
  </si>
  <si>
    <t>Prev CoH</t>
  </si>
  <si>
    <t>Prev CH Fees</t>
  </si>
  <si>
    <t>D Petty</t>
  </si>
  <si>
    <t>From Float</t>
  </si>
  <si>
    <t>Pledged to Junior Library</t>
  </si>
  <si>
    <t>To Petty Cash</t>
  </si>
  <si>
    <t>Transfer Out to Petty Cash</t>
  </si>
  <si>
    <t>From Elyse Pike</t>
  </si>
  <si>
    <t>Mary Solomon</t>
  </si>
  <si>
    <t>Miranda Lahtinen</t>
  </si>
  <si>
    <t>Tamara Lahtinen</t>
  </si>
  <si>
    <t>Event Expense (Volunteer Appreciation)</t>
  </si>
  <si>
    <t>Contributions</t>
  </si>
  <si>
    <t>Doris George</t>
  </si>
  <si>
    <t>Library Cards</t>
  </si>
  <si>
    <t>AS OF: May 31, 2022</t>
  </si>
  <si>
    <t>Linda Bertrand</t>
  </si>
  <si>
    <t>M Clark</t>
  </si>
  <si>
    <t>Douglas George Loucks</t>
  </si>
  <si>
    <t>D8B288</t>
  </si>
  <si>
    <t>Display Case, Cash Box, Railing</t>
  </si>
  <si>
    <t>GST + Federal part of HST</t>
  </si>
  <si>
    <t>PST + Provincial part of HST</t>
  </si>
  <si>
    <t>A</t>
  </si>
  <si>
    <t>M</t>
  </si>
  <si>
    <t>C</t>
  </si>
  <si>
    <t>F</t>
  </si>
  <si>
    <t>ACM</t>
  </si>
  <si>
    <t>Schedule 6</t>
  </si>
  <si>
    <t>Line</t>
  </si>
  <si>
    <t>Discussion</t>
  </si>
  <si>
    <t>Net Shed books. An estimate</t>
  </si>
  <si>
    <t>Lines 4155, 4160, 4165, 4170 are nil. Line 4150 is all use in charitable activities.</t>
  </si>
  <si>
    <t>Tax receipts issued</t>
  </si>
  <si>
    <t>Charities</t>
  </si>
  <si>
    <t>TD Private Giving Foundation, PayPal Giving Fund</t>
  </si>
  <si>
    <t>CanadaHelps &amp; No Tax Rx Jun 2020 - May 2021</t>
  </si>
  <si>
    <t>Federal Government</t>
  </si>
  <si>
    <t>Provincial Government</t>
  </si>
  <si>
    <t>Municipal Government</t>
  </si>
  <si>
    <t>Tax receipts outside Canada</t>
  </si>
  <si>
    <t>Non Tax Recepted revenue from outside Canada</t>
  </si>
  <si>
    <t>Gross proceeds from Disposition of Assets</t>
  </si>
  <si>
    <t>Net proceeds from Disposition of Assets</t>
  </si>
  <si>
    <t>Gross income from rentals</t>
  </si>
  <si>
    <t>Net Shed, Concerts, Xmas Fund,Trunk Sale</t>
  </si>
  <si>
    <t>HST rebate</t>
  </si>
  <si>
    <t>Advertising &amp; Promotion</t>
  </si>
  <si>
    <t>Licences, memberships and dues</t>
  </si>
  <si>
    <t>Bell Mobility, Web hosting</t>
  </si>
  <si>
    <t>Lawn care</t>
  </si>
  <si>
    <t>FMV of goods used in charitable activities. We did not pay for these goods, so they were not expenditures</t>
  </si>
  <si>
    <t xml:space="preserve"> Newspapers</t>
  </si>
  <si>
    <t>Catchall. Everything that doesn't fit elsewhere</t>
  </si>
  <si>
    <t>charitable activities</t>
  </si>
  <si>
    <t>M&amp;A activities</t>
  </si>
  <si>
    <t>CanadaHelps Fees, Event Expenses</t>
  </si>
  <si>
    <t>Gifts to other registered charities, etc.</t>
  </si>
  <si>
    <t>Amount accumulated this year</t>
  </si>
  <si>
    <t>$20,000 from FOML, $265,000 from donations</t>
  </si>
  <si>
    <t>Disbursement reduction</t>
  </si>
  <si>
    <t>(2019/2020 Cash + 2018/2019 Cash ) / 2</t>
  </si>
  <si>
    <t>(2020/2021 Cash + 2019/2020 Cash ) / 2</t>
  </si>
  <si>
    <t>Charity</t>
  </si>
  <si>
    <t>Muni</t>
  </si>
  <si>
    <t>Tax Rx</t>
  </si>
  <si>
    <t>No Tax Rx</t>
  </si>
  <si>
    <t>TR Outside Canada</t>
  </si>
  <si>
    <t>No TR Outside Canada</t>
  </si>
  <si>
    <t>CH Receivables</t>
  </si>
  <si>
    <t>Delta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</si>
  <si>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</si>
  <si>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</si>
  <si>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</si>
  <si>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</si>
  <si>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</si>
  <si>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</si>
  <si>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</si>
  <si>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</si>
  <si>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</si>
  <si>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</si>
  <si>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</si>
  <si>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</si>
  <si>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May, 2020</t>
  </si>
  <si>
    <t>May, 2021</t>
  </si>
  <si>
    <t>Fall Fair</t>
  </si>
  <si>
    <t>Silent Auction</t>
  </si>
  <si>
    <t>Xmas Market</t>
  </si>
  <si>
    <t>Xmas Carol Reading</t>
  </si>
  <si>
    <t>Trivia</t>
  </si>
  <si>
    <t>Movie - The Public</t>
  </si>
  <si>
    <t>Read-A-Thon</t>
  </si>
  <si>
    <t>Stories &amp; Songs</t>
  </si>
  <si>
    <t>Harry Potter</t>
  </si>
  <si>
    <t>Plant Sale</t>
  </si>
  <si>
    <t>Calendars</t>
  </si>
  <si>
    <t>Farmer's Market</t>
  </si>
  <si>
    <t>Concerts</t>
  </si>
  <si>
    <t>Number</t>
  </si>
  <si>
    <t>Surname</t>
  </si>
  <si>
    <t>Given Name</t>
  </si>
  <si>
    <t>Initial</t>
  </si>
  <si>
    <t>Donated Amount</t>
  </si>
  <si>
    <t>Donation Date</t>
  </si>
  <si>
    <t>CanadaHelps</t>
  </si>
  <si>
    <t>Anderson</t>
  </si>
  <si>
    <t>Anne</t>
  </si>
  <si>
    <t/>
  </si>
  <si>
    <t>Shields</t>
  </si>
  <si>
    <t>Dinah</t>
  </si>
  <si>
    <t>Renken</t>
  </si>
  <si>
    <t>Brian</t>
  </si>
  <si>
    <t>Prazmowski</t>
  </si>
  <si>
    <t>Richard</t>
  </si>
  <si>
    <t>Walker</t>
  </si>
  <si>
    <t>Grace</t>
  </si>
  <si>
    <t>Bouwman</t>
  </si>
  <si>
    <t>Bill</t>
  </si>
  <si>
    <t>Warwick</t>
  </si>
  <si>
    <t>Alana</t>
  </si>
  <si>
    <t>Solomon</t>
  </si>
  <si>
    <t>Mary</t>
  </si>
  <si>
    <t>Lahtinen</t>
  </si>
  <si>
    <t>Tamara</t>
  </si>
  <si>
    <t>Miranda</t>
  </si>
  <si>
    <t>Synnot</t>
  </si>
  <si>
    <t>Catherine</t>
  </si>
  <si>
    <t>George</t>
  </si>
  <si>
    <t>Doris</t>
  </si>
  <si>
    <t>Howson</t>
  </si>
  <si>
    <t>Susan</t>
  </si>
  <si>
    <t>Anon</t>
  </si>
  <si>
    <t>Hand-Ellinger</t>
  </si>
  <si>
    <t>Christine</t>
  </si>
  <si>
    <t>Kieffer</t>
  </si>
  <si>
    <t>Wilcox</t>
  </si>
  <si>
    <t>Floyd</t>
  </si>
  <si>
    <t>MacIntyre</t>
  </si>
  <si>
    <t>Diane</t>
  </si>
  <si>
    <t>Porterfield</t>
  </si>
  <si>
    <t>Tiffany</t>
  </si>
  <si>
    <t>Trusler</t>
  </si>
  <si>
    <t>Karen &amp; Tom</t>
  </si>
  <si>
    <t>Raeburn-Bell</t>
  </si>
  <si>
    <t>Margaret</t>
  </si>
  <si>
    <t>Bell</t>
  </si>
  <si>
    <t>Sylvia</t>
  </si>
  <si>
    <t>Hickey</t>
  </si>
  <si>
    <t>Deborah</t>
  </si>
  <si>
    <t>Franklin</t>
  </si>
  <si>
    <t>Charles</t>
  </si>
  <si>
    <t>Eijsenck</t>
  </si>
  <si>
    <t>Hans</t>
  </si>
  <si>
    <t>W</t>
  </si>
  <si>
    <t>Canadian</t>
  </si>
  <si>
    <t>Tire</t>
  </si>
  <si>
    <t>Molineux</t>
  </si>
  <si>
    <t>Ralph</t>
  </si>
  <si>
    <t>Cynthia</t>
  </si>
  <si>
    <t>Henley</t>
  </si>
  <si>
    <t>Dorothy</t>
  </si>
  <si>
    <t>Chapman</t>
  </si>
  <si>
    <t>Darcy</t>
  </si>
  <si>
    <t>Rhodes</t>
  </si>
  <si>
    <t>Len &amp; Nancy</t>
  </si>
  <si>
    <t>Deeks</t>
  </si>
  <si>
    <t>Josie</t>
  </si>
  <si>
    <t>Port</t>
  </si>
  <si>
    <t>David</t>
  </si>
  <si>
    <t>Murray</t>
  </si>
  <si>
    <t>Heather</t>
  </si>
  <si>
    <t>Mei</t>
  </si>
  <si>
    <t>Tony</t>
  </si>
  <si>
    <t>Buchanan</t>
  </si>
  <si>
    <t>Linda</t>
  </si>
  <si>
    <t>Brian &amp; Lori</t>
  </si>
  <si>
    <t>McGowan</t>
  </si>
  <si>
    <t>Corrine</t>
  </si>
  <si>
    <t>Scheifele</t>
  </si>
  <si>
    <t>Lori</t>
  </si>
  <si>
    <t>Buhlman</t>
  </si>
  <si>
    <t>Thompson</t>
  </si>
  <si>
    <t>Karen</t>
  </si>
  <si>
    <t>Barr</t>
  </si>
  <si>
    <t>Judy</t>
  </si>
  <si>
    <t>Kearns</t>
  </si>
  <si>
    <t>Donna</t>
  </si>
  <si>
    <t>Rivers-Moore</t>
  </si>
  <si>
    <t>Agnes</t>
  </si>
  <si>
    <t>Seed</t>
  </si>
  <si>
    <t>Titov</t>
  </si>
  <si>
    <t>Max</t>
  </si>
  <si>
    <t>Solecki</t>
  </si>
  <si>
    <t>Maureen</t>
  </si>
  <si>
    <t>Oliver</t>
  </si>
  <si>
    <t>Sandra</t>
  </si>
  <si>
    <t>Adam</t>
  </si>
  <si>
    <t>Kelly</t>
  </si>
  <si>
    <t>Gregson</t>
  </si>
  <si>
    <t>Laurie</t>
  </si>
  <si>
    <t>Sweatman</t>
  </si>
  <si>
    <t>Bette</t>
  </si>
  <si>
    <t>Freedman</t>
  </si>
  <si>
    <t>Molly</t>
  </si>
  <si>
    <t>Richardson</t>
  </si>
  <si>
    <t>Francis</t>
  </si>
  <si>
    <t>McEwan</t>
  </si>
  <si>
    <t>Chris</t>
  </si>
  <si>
    <t>Courage</t>
  </si>
  <si>
    <t>Sonya</t>
  </si>
  <si>
    <t>McLean</t>
  </si>
  <si>
    <t>Guy</t>
  </si>
  <si>
    <t>Lubin</t>
  </si>
  <si>
    <t>Gina</t>
  </si>
  <si>
    <t>Tribble</t>
  </si>
  <si>
    <t>Laura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</si>
</sst>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\$* #,##0.00_);_(\$* \(#,##0.00\);_(\$* \-??_);_(@_)"/>
    <numFmt numFmtId="165" formatCode="_-\$* #,##0.00_-;&quot;-$&quot;* #,##0.00_-;_-\$* \-??_-;_-@_-"/>
    <numFmt numFmtId="166" formatCode="\$#,##0.00_);[Red]&quot;($&quot;#,##0.00\)"/>
    <numFmt numFmtId="167" formatCode="[$-409]mmm\-yy"/>
    <numFmt numFmtId="168" formatCode="[$-409]d\-mmm\-yy"/>
    <numFmt numFmtId="169" formatCode="[$-409]d\-mmm"/>
    <numFmt numFmtId="170" formatCode="\$#,##0_);[Red]&quot;($&quot;#,##0\)"/>
    <numFmt numFmtId="171" formatCode="\$#,##0.00;[Red]\$#,##0.00"/>
    <numFmt numFmtId="172" formatCode="\$#,##0.00_);&quot;($&quot;#,##0.00\)"/>
    <numFmt numFmtId="173" formatCode="#,##0.00;[Red]#,##0.00"/>
    <numFmt numFmtId="174" formatCode="_-\$* #,##0_-;&quot;-$&quot;* #,##0_-;_-\$* \-??_-;_-@_-"/>
    <numFmt numFmtId="175" formatCode="_(&quot;$&quot;* #,##0.00_);_(&quot;$&quot;* \(#,##0.00\);_(&quot;$&quot;* &quot;-&quot;??_);_(@_)"/>
    <numFmt numFmtId="176" formatCode="&quot;$&quot;#,##0.00;\(&quot;$&quot;#,##0.00\)"/>
  </numFmts>
  <fonts count="17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000000"/>
      <name val="Calibri"/>
      <family val="2"/>
      <charset val="1"/>
    </font>
    <font>
      <b/>
      <sz val="12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8"/>
      <color rgb="FF000000"/>
      <name val="Calibri"/>
      <family val="2"/>
      <charset val="1"/>
    </font>
    <font>
      <b/>
      <sz val="12"/>
      <color rgb="FFFF0000"/>
      <name val="Calibri"/>
      <family val="2"/>
      <charset val="1"/>
    </font>
    <font>
      <sz val="14"/>
      <color rgb="FF000000"/>
      <name val="Calibri"/>
      <family val="2"/>
      <charset val="1"/>
    </font>
    <font>
      <sz val="10"/>
      <color rgb="FF555555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</font>
    <font>
      <sz val="11"/>
      <color theme="1"/>
      <name val="Symbol"/>
      <family val="1"/>
      <charset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sz val="10"/>
      <color indexed="8"/>
      <name val="Arial"/>
    </font>
    <font>
      <sz val="11"/>
      <color indexed="8"/>
      <name val="Calibri"/>
      <charset val="163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22"/>
        <bgColor indexed="0"/>
      </patternFill>
    </fill>
  </fills>
  <borders count="3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auto="1"/>
      </bottom>
      <diagonal/>
    </border>
    <border>
      <left/>
      <right style="medium">
        <color auto="1"/>
      </right>
      <top/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9">
    <xf numFmtId="0" fontId="0" fillId="0" borderId="0"/>
    <xf numFmtId="165" fontId="10" fillId="0" borderId="0" applyBorder="0" applyProtection="0"/>
    <xf numFmtId="9" fontId="10" fillId="0" borderId="0" applyBorder="0" applyProtection="0"/>
    <xf numFmtId="0" fontId="2" fillId="0" borderId="0"/>
    <xf numFmtId="44" fontId="2" fillId="0" borderId="0" applyFont="0" applyFill="0" applyBorder="0" applyAlignment="0" applyProtection="0"/>
    <xf numFmtId="0" fontId="10" fillId="0" borderId="0"/>
    <xf numFmtId="0" fontId="1" fillId="0" borderId="0"/>
    <xf numFmtId="44" fontId="1" fillId="0" borderId="0" applyFont="0" applyFill="0" applyBorder="0" applyAlignment="0" applyProtection="0"/>
    <xf numFmtId="0" fontId="15" fillId="0" borderId="0"/>
  </cellStyleXfs>
  <cellXfs count="140">
    <xf numFmtId="0" fontId="0" fillId="0" borderId="0" xfId="0"/>
    <xf numFmtId="0" fontId="4" fillId="0" borderId="0" xfId="0" applyFont="1"/>
    <xf numFmtId="164" fontId="0" fillId="0" borderId="1" xfId="0" applyNumberFormat="1" applyBorder="1"/>
    <xf numFmtId="165" fontId="0" fillId="0" borderId="0" xfId="0" applyNumberFormat="1"/>
    <xf numFmtId="0" fontId="5" fillId="0" borderId="0" xfId="0" applyFont="1"/>
    <xf numFmtId="164" fontId="0" fillId="0" borderId="0" xfId="0" applyNumberFormat="1"/>
    <xf numFmtId="165" fontId="0" fillId="0" borderId="1" xfId="0" applyNumberFormat="1" applyBorder="1"/>
    <xf numFmtId="165" fontId="0" fillId="0" borderId="0" xfId="0" applyNumberFormat="1" applyBorder="1"/>
    <xf numFmtId="166" fontId="0" fillId="0" borderId="1" xfId="0" applyNumberFormat="1" applyBorder="1"/>
    <xf numFmtId="166" fontId="0" fillId="0" borderId="0" xfId="0" applyNumberFormat="1"/>
    <xf numFmtId="164" fontId="0" fillId="0" borderId="2" xfId="1" applyNumberFormat="1" applyFont="1" applyBorder="1" applyAlignment="1" applyProtection="1"/>
    <xf numFmtId="164" fontId="0" fillId="0" borderId="2" xfId="0" applyNumberFormat="1" applyBorder="1"/>
    <xf numFmtId="0" fontId="3" fillId="0" borderId="0" xfId="0" applyFont="1" applyAlignment="1">
      <alignment horizontal="center"/>
    </xf>
    <xf numFmtId="165" fontId="0" fillId="0" borderId="0" xfId="1" applyFont="1" applyBorder="1" applyAlignment="1" applyProtection="1"/>
    <xf numFmtId="164" fontId="5" fillId="0" borderId="2" xfId="0" applyNumberFormat="1" applyFont="1" applyBorder="1"/>
    <xf numFmtId="164" fontId="4" fillId="0" borderId="2" xfId="0" applyNumberFormat="1" applyFont="1" applyBorder="1"/>
    <xf numFmtId="0" fontId="7" fillId="0" borderId="0" xfId="0" applyFont="1"/>
    <xf numFmtId="0" fontId="0" fillId="0" borderId="0" xfId="0" applyFont="1"/>
    <xf numFmtId="165" fontId="0" fillId="0" borderId="0" xfId="1" applyFont="1" applyBorder="1" applyAlignment="1" applyProtection="1">
      <alignment horizontal="center"/>
    </xf>
    <xf numFmtId="9" fontId="0" fillId="0" borderId="0" xfId="2" applyFont="1" applyBorder="1" applyAlignment="1" applyProtection="1"/>
    <xf numFmtId="164" fontId="5" fillId="0" borderId="1" xfId="1" applyNumberFormat="1" applyFont="1" applyBorder="1" applyAlignment="1" applyProtection="1"/>
    <xf numFmtId="164" fontId="0" fillId="0" borderId="0" xfId="1" applyNumberFormat="1" applyFont="1" applyBorder="1" applyAlignment="1" applyProtection="1"/>
    <xf numFmtId="164" fontId="4" fillId="0" borderId="0" xfId="1" applyNumberFormat="1" applyFont="1" applyBorder="1" applyAlignment="1" applyProtection="1"/>
    <xf numFmtId="167" fontId="0" fillId="0" borderId="0" xfId="0" applyNumberFormat="1"/>
    <xf numFmtId="0" fontId="0" fillId="0" borderId="0" xfId="0" applyAlignment="1">
      <alignment horizontal="right"/>
    </xf>
    <xf numFmtId="164" fontId="5" fillId="0" borderId="0" xfId="1" applyNumberFormat="1" applyFont="1" applyBorder="1" applyAlignment="1" applyProtection="1"/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0" fillId="0" borderId="0" xfId="0" applyAlignment="1">
      <alignment horizontal="center" vertical="center"/>
    </xf>
    <xf numFmtId="164" fontId="0" fillId="0" borderId="6" xfId="1" applyNumberFormat="1" applyFont="1" applyBorder="1" applyAlignment="1" applyProtection="1"/>
    <xf numFmtId="164" fontId="0" fillId="0" borderId="7" xfId="1" applyNumberFormat="1" applyFont="1" applyBorder="1" applyAlignment="1" applyProtection="1"/>
    <xf numFmtId="3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Font="1" applyAlignment="1">
      <alignment vertical="center"/>
    </xf>
    <xf numFmtId="3" fontId="0" fillId="0" borderId="0" xfId="0" applyNumberFormat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2" xfId="0" applyBorder="1"/>
    <xf numFmtId="164" fontId="0" fillId="0" borderId="9" xfId="1" applyNumberFormat="1" applyFont="1" applyBorder="1" applyAlignment="1" applyProtection="1"/>
    <xf numFmtId="164" fontId="0" fillId="0" borderId="10" xfId="1" applyNumberFormat="1" applyFont="1" applyBorder="1" applyAlignment="1" applyProtection="1"/>
    <xf numFmtId="164" fontId="0" fillId="0" borderId="11" xfId="1" applyNumberFormat="1" applyFont="1" applyBorder="1" applyAlignment="1" applyProtection="1"/>
    <xf numFmtId="164" fontId="0" fillId="0" borderId="12" xfId="1" applyNumberFormat="1" applyFont="1" applyBorder="1" applyAlignment="1" applyProtection="1"/>
    <xf numFmtId="0" fontId="3" fillId="0" borderId="0" xfId="0" applyFont="1"/>
    <xf numFmtId="168" fontId="0" fillId="0" borderId="0" xfId="0" applyNumberFormat="1"/>
    <xf numFmtId="169" fontId="0" fillId="0" borderId="0" xfId="0" applyNumberFormat="1"/>
    <xf numFmtId="165" fontId="0" fillId="0" borderId="11" xfId="1" applyFont="1" applyBorder="1" applyAlignment="1" applyProtection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7" xfId="0" applyBorder="1"/>
    <xf numFmtId="0" fontId="0" fillId="0" borderId="11" xfId="1" applyNumberFormat="1" applyFont="1" applyBorder="1" applyAlignment="1" applyProtection="1"/>
    <xf numFmtId="170" fontId="0" fillId="0" borderId="0" xfId="0" applyNumberFormat="1"/>
    <xf numFmtId="170" fontId="0" fillId="0" borderId="11" xfId="0" applyNumberFormat="1" applyBorder="1"/>
    <xf numFmtId="0" fontId="0" fillId="0" borderId="0" xfId="0" applyFont="1" applyBorder="1" applyAlignment="1">
      <alignment horizontal="center"/>
    </xf>
    <xf numFmtId="170" fontId="0" fillId="0" borderId="0" xfId="0" applyNumberFormat="1" applyBorder="1"/>
    <xf numFmtId="170" fontId="0" fillId="0" borderId="16" xfId="0" applyNumberFormat="1" applyBorder="1"/>
    <xf numFmtId="1" fontId="0" fillId="0" borderId="0" xfId="0" applyNumberFormat="1" applyAlignment="1">
      <alignment horizontal="center"/>
    </xf>
    <xf numFmtId="1" fontId="0" fillId="0" borderId="0" xfId="0" applyNumberFormat="1" applyBorder="1"/>
    <xf numFmtId="166" fontId="0" fillId="0" borderId="7" xfId="0" applyNumberFormat="1" applyBorder="1"/>
    <xf numFmtId="166" fontId="0" fillId="0" borderId="11" xfId="0" applyNumberFormat="1" applyBorder="1"/>
    <xf numFmtId="170" fontId="0" fillId="0" borderId="7" xfId="0" applyNumberFormat="1" applyBorder="1"/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166" fontId="0" fillId="0" borderId="16" xfId="0" applyNumberFormat="1" applyBorder="1"/>
    <xf numFmtId="170" fontId="0" fillId="0" borderId="2" xfId="0" applyNumberFormat="1" applyBorder="1"/>
    <xf numFmtId="166" fontId="0" fillId="0" borderId="9" xfId="0" applyNumberFormat="1" applyBorder="1"/>
    <xf numFmtId="166" fontId="0" fillId="0" borderId="2" xfId="0" applyNumberFormat="1" applyBorder="1"/>
    <xf numFmtId="171" fontId="0" fillId="0" borderId="0" xfId="0" applyNumberFormat="1"/>
    <xf numFmtId="0" fontId="0" fillId="0" borderId="11" xfId="0" applyBorder="1"/>
    <xf numFmtId="1" fontId="0" fillId="0" borderId="11" xfId="0" applyNumberFormat="1" applyBorder="1"/>
    <xf numFmtId="165" fontId="0" fillId="0" borderId="11" xfId="0" applyNumberFormat="1" applyBorder="1"/>
    <xf numFmtId="11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166" fontId="0" fillId="0" borderId="4" xfId="0" applyNumberFormat="1" applyBorder="1"/>
    <xf numFmtId="165" fontId="0" fillId="0" borderId="4" xfId="0" applyNumberFormat="1" applyBorder="1"/>
    <xf numFmtId="166" fontId="0" fillId="0" borderId="17" xfId="0" applyNumberFormat="1" applyBorder="1"/>
    <xf numFmtId="0" fontId="0" fillId="0" borderId="0" xfId="0" applyBorder="1"/>
    <xf numFmtId="166" fontId="0" fillId="0" borderId="0" xfId="0" applyNumberFormat="1" applyBorder="1"/>
    <xf numFmtId="168" fontId="5" fillId="0" borderId="0" xfId="0" applyNumberFormat="1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Font="1" applyBorder="1"/>
    <xf numFmtId="0" fontId="0" fillId="0" borderId="24" xfId="0" applyBorder="1"/>
    <xf numFmtId="166" fontId="0" fillId="0" borderId="0" xfId="0" applyNumberFormat="1" applyBorder="1"/>
    <xf numFmtId="165" fontId="0" fillId="0" borderId="1" xfId="1" applyFont="1" applyBorder="1" applyAlignment="1" applyProtection="1"/>
    <xf numFmtId="168" fontId="0" fillId="0" borderId="0" xfId="0" applyNumberFormat="1" applyBorder="1"/>
    <xf numFmtId="0" fontId="0" fillId="0" borderId="1" xfId="0" applyBorder="1"/>
    <xf numFmtId="0" fontId="0" fillId="0" borderId="25" xfId="0" applyBorder="1"/>
    <xf numFmtId="0" fontId="8" fillId="0" borderId="7" xfId="0" applyFont="1" applyBorder="1"/>
    <xf numFmtId="0" fontId="0" fillId="0" borderId="26" xfId="0" applyBorder="1"/>
    <xf numFmtId="172" fontId="0" fillId="0" borderId="0" xfId="0" applyNumberFormat="1"/>
    <xf numFmtId="0" fontId="9" fillId="0" borderId="0" xfId="0" applyFont="1"/>
    <xf numFmtId="0" fontId="0" fillId="0" borderId="27" xfId="0" applyBorder="1"/>
    <xf numFmtId="0" fontId="0" fillId="0" borderId="28" xfId="0" applyBorder="1"/>
    <xf numFmtId="168" fontId="0" fillId="0" borderId="1" xfId="0" applyNumberFormat="1" applyBorder="1"/>
    <xf numFmtId="0" fontId="0" fillId="0" borderId="0" xfId="0" applyFill="1" applyBorder="1"/>
    <xf numFmtId="173" fontId="0" fillId="0" borderId="0" xfId="0" applyNumberFormat="1"/>
    <xf numFmtId="165" fontId="10" fillId="0" borderId="11" xfId="1" applyBorder="1" applyProtection="1"/>
    <xf numFmtId="43" fontId="0" fillId="0" borderId="0" xfId="0" applyNumberFormat="1"/>
    <xf numFmtId="165" fontId="0" fillId="0" borderId="0" xfId="1" applyFont="1" applyFill="1" applyBorder="1" applyAlignment="1" applyProtection="1"/>
    <xf numFmtId="165" fontId="10" fillId="0" borderId="0" xfId="1"/>
    <xf numFmtId="174" fontId="10" fillId="0" borderId="11" xfId="1" applyNumberFormat="1" applyBorder="1" applyProtection="1"/>
    <xf numFmtId="0" fontId="11" fillId="0" borderId="0" xfId="0" applyFont="1"/>
    <xf numFmtId="165" fontId="0" fillId="0" borderId="0" xfId="1" applyFont="1" applyBorder="1" applyProtection="1"/>
    <xf numFmtId="44" fontId="0" fillId="0" borderId="0" xfId="0" applyNumberFormat="1"/>
    <xf numFmtId="175" fontId="0" fillId="0" borderId="0" xfId="0" applyNumberFormat="1"/>
    <xf numFmtId="165" fontId="0" fillId="0" borderId="0" xfId="1" applyFont="1" applyFill="1" applyBorder="1" applyProtection="1"/>
    <xf numFmtId="15" fontId="0" fillId="0" borderId="0" xfId="0" applyNumberFormat="1"/>
    <xf numFmtId="164" fontId="0" fillId="0" borderId="0" xfId="1" applyNumberFormat="1" applyFont="1" applyBorder="1" applyProtection="1"/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10" fillId="0" borderId="0" xfId="5"/>
    <xf numFmtId="164" fontId="10" fillId="0" borderId="0" xfId="5" applyNumberFormat="1"/>
    <xf numFmtId="0" fontId="1" fillId="0" borderId="0" xfId="6" applyAlignment="1">
      <alignment horizontal="center"/>
    </xf>
    <xf numFmtId="0" fontId="1" fillId="0" borderId="0" xfId="6"/>
    <xf numFmtId="44" fontId="0" fillId="0" borderId="0" xfId="7" applyFont="1"/>
    <xf numFmtId="44" fontId="0" fillId="2" borderId="0" xfId="7" applyFont="1" applyFill="1"/>
    <xf numFmtId="44" fontId="1" fillId="0" borderId="0" xfId="6" applyNumberFormat="1"/>
    <xf numFmtId="0" fontId="12" fillId="0" borderId="0" xfId="6" applyFont="1" applyAlignment="1">
      <alignment horizontal="left" indent="10"/>
    </xf>
    <xf numFmtId="0" fontId="1" fillId="0" borderId="0" xfId="6" applyAlignment="1">
      <alignment horizontal="left" indent="10"/>
    </xf>
    <xf numFmtId="44" fontId="1" fillId="2" borderId="0" xfId="6" applyNumberFormat="1" applyFill="1"/>
    <xf numFmtId="0" fontId="1" fillId="0" borderId="0" xfId="6" applyAlignment="1">
      <alignment horizontal="center" wrapText="1"/>
    </xf>
    <xf numFmtId="44" fontId="1" fillId="2" borderId="0" xfId="6" quotePrefix="1" applyNumberFormat="1" applyFill="1"/>
    <xf numFmtId="0" fontId="1" fillId="0" borderId="0" xfId="6" applyAlignment="1">
      <alignment horizontal="right"/>
    </xf>
    <xf numFmtId="0" fontId="16" fillId="3" borderId="29" xfId="8" applyFont="1" applyFill="1" applyBorder="1" applyAlignment="1">
      <alignment horizontal="center"/>
    </xf>
    <xf numFmtId="0" fontId="16" fillId="0" borderId="30" xfId="8" applyFont="1" applyBorder="1" applyAlignment="1">
      <alignment horizontal="right" wrapText="1"/>
    </xf>
    <xf numFmtId="0" fontId="16" fillId="0" borderId="30" xfId="8" applyFont="1" applyBorder="1" applyAlignment="1">
      <alignment wrapText="1"/>
    </xf>
    <xf numFmtId="176" fontId="16" fillId="0" borderId="30" xfId="8" applyNumberFormat="1" applyFont="1" applyBorder="1" applyAlignment="1">
      <alignment horizontal="right" wrapText="1"/>
    </xf>
    <xf numFmtId="15" fontId="16" fillId="0" borderId="30" xfId="8" applyNumberFormat="1" applyFont="1" applyBorder="1" applyAlignment="1">
      <alignment horizontal="right" wrapText="1"/>
    </xf>
    <xf numFmtId="176" fontId="1" fillId="0" borderId="0" xfId="6" applyNumberFormat="1"/>
  </cellXfs>
  <cellStyles count="9">
    <cellStyle name="Currency" xfId="1" builtinId="4"/>
    <cellStyle name="Currency 2" xfId="4" xr:uid="{F84BFA9F-7C13-4E9A-AC05-52F21312C148}"/>
    <cellStyle name="Currency 3" xfId="7" xr:uid="{E5B39BD0-E28D-4BB0-BF0A-EEF93D9A4C5D}"/>
    <cellStyle name="Normal" xfId="0" builtinId="0"/>
    <cellStyle name="Normal 2" xfId="3" xr:uid="{BDFBB619-5925-4FB4-92CD-801E10D43A15}"/>
    <cellStyle name="Normal 3" xfId="5" xr:uid="{339166DE-63B8-4189-8C54-AFA242DF4333}"/>
    <cellStyle name="Normal 4" xfId="6" xr:uid="{701C67E4-F8BF-4511-BA3B-140CE45F1415}"/>
    <cellStyle name="Normal_Sheet1" xfId="8" xr:uid="{024B0436-DDFC-4CA9-877F-E3FF2F57F360}"/>
    <cellStyle name="Percent" xfId="2" builtinId="5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555555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externalLink" Target="externalLinks/externalLink6.xml"/><Relationship Id="rId47" Type="http://schemas.openxmlformats.org/officeDocument/2006/relationships/externalLink" Target="externalLinks/externalLink11.xml"/><Relationship Id="rId50" Type="http://schemas.openxmlformats.org/officeDocument/2006/relationships/externalLink" Target="externalLinks/externalLink14.xml"/><Relationship Id="rId55" Type="http://schemas.openxmlformats.org/officeDocument/2006/relationships/externalLink" Target="externalLinks/externalLink19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2.xml"/><Relationship Id="rId46" Type="http://schemas.openxmlformats.org/officeDocument/2006/relationships/externalLink" Target="externalLinks/externalLink10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5.xml"/><Relationship Id="rId54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1.xml"/><Relationship Id="rId40" Type="http://schemas.openxmlformats.org/officeDocument/2006/relationships/externalLink" Target="externalLinks/externalLink4.xml"/><Relationship Id="rId45" Type="http://schemas.openxmlformats.org/officeDocument/2006/relationships/externalLink" Target="externalLinks/externalLink9.xml"/><Relationship Id="rId53" Type="http://schemas.openxmlformats.org/officeDocument/2006/relationships/externalLink" Target="externalLinks/externalLink17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13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8.xml"/><Relationship Id="rId52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externalLink" Target="externalLinks/externalLink7.xml"/><Relationship Id="rId48" Type="http://schemas.openxmlformats.org/officeDocument/2006/relationships/externalLink" Target="externalLinks/externalLink12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5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2/FOML%20Apr%2022%20Statement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Year%20End%20Statements/2021/FOML%20year%20end%20May%202021%20Statement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May%2020%20Statement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19/FOML%20May%2019%20Statemen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July%2020%20Stateme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Aug%2020%20Statement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Dec%2020%20Statement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Jan%2021%20Statement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Feb%2021%20Statement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Mar%2021%20Statement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Apr%2021%20Statemen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June%2020%20Statemen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Oct%2020%20Statement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May%2021%20Statemen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2/FOML%20Mar%2022%20Statement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July%2021%20Statemen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Sep%2020%20Statement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0/FOML%20Nov%2020%20Statement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nah/Dropbox/Friends%20of%20Meaford%20Library/Treasurer%20Reports/Monthly%20Reports/2021/FOML%20Nov%2021%20Statemen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Sheet 16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Contributions"/>
    </sheetNames>
    <sheetDataSet>
      <sheetData sheetId="0">
        <row r="7">
          <cell r="F7">
            <v>33563.460000000028</v>
          </cell>
        </row>
        <row r="18">
          <cell r="F18">
            <v>-1.4566126083082054E-13</v>
          </cell>
        </row>
        <row r="20">
          <cell r="F20">
            <v>31.38</v>
          </cell>
        </row>
        <row r="22">
          <cell r="F22">
            <v>30</v>
          </cell>
        </row>
        <row r="24">
          <cell r="F24">
            <v>33624.840000000026</v>
          </cell>
        </row>
        <row r="26">
          <cell r="F26">
            <v>100</v>
          </cell>
        </row>
        <row r="30">
          <cell r="F30">
            <v>33724.840000000026</v>
          </cell>
        </row>
        <row r="38">
          <cell r="F38">
            <v>1664.59</v>
          </cell>
        </row>
        <row r="42">
          <cell r="F42">
            <v>1664.59</v>
          </cell>
        </row>
        <row r="46">
          <cell r="F46">
            <v>32060.250000000025</v>
          </cell>
        </row>
      </sheetData>
      <sheetData sheetId="1">
        <row r="7">
          <cell r="G7">
            <v>16552.509999999998</v>
          </cell>
        </row>
        <row r="8">
          <cell r="G8">
            <v>226</v>
          </cell>
        </row>
        <row r="9">
          <cell r="G9">
            <v>20345.109999999997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302.83</v>
          </cell>
        </row>
        <row r="15">
          <cell r="G15">
            <v>37426.449999999997</v>
          </cell>
        </row>
        <row r="18">
          <cell r="G18">
            <v>752.75</v>
          </cell>
        </row>
        <row r="19">
          <cell r="G19">
            <v>325.01</v>
          </cell>
        </row>
        <row r="20">
          <cell r="G20">
            <v>3874.6</v>
          </cell>
        </row>
        <row r="21">
          <cell r="G21">
            <v>1720</v>
          </cell>
        </row>
        <row r="22">
          <cell r="G22">
            <v>30.339999999999996</v>
          </cell>
        </row>
        <row r="23">
          <cell r="G23">
            <v>266.43</v>
          </cell>
        </row>
        <row r="24">
          <cell r="G24">
            <v>30.78</v>
          </cell>
        </row>
        <row r="25">
          <cell r="G25">
            <v>22405.53</v>
          </cell>
        </row>
        <row r="26">
          <cell r="G26">
            <v>0</v>
          </cell>
        </row>
        <row r="27">
          <cell r="G27">
            <v>419</v>
          </cell>
        </row>
        <row r="28">
          <cell r="G28">
            <v>0</v>
          </cell>
        </row>
        <row r="29">
          <cell r="G29">
            <v>30</v>
          </cell>
        </row>
        <row r="30">
          <cell r="G30">
            <v>208.41000000000003</v>
          </cell>
        </row>
        <row r="31">
          <cell r="G31">
            <v>0</v>
          </cell>
        </row>
        <row r="32">
          <cell r="G32">
            <v>675</v>
          </cell>
        </row>
        <row r="33">
          <cell r="G33">
            <v>135</v>
          </cell>
        </row>
        <row r="34">
          <cell r="G34">
            <v>177.46</v>
          </cell>
        </row>
        <row r="35">
          <cell r="G35">
            <v>137.6</v>
          </cell>
        </row>
        <row r="36">
          <cell r="G36">
            <v>219.37</v>
          </cell>
        </row>
        <row r="38">
          <cell r="G38">
            <v>31407.279999999999</v>
          </cell>
        </row>
        <row r="40">
          <cell r="G40">
            <v>6019.1700000000046</v>
          </cell>
        </row>
      </sheetData>
      <sheetData sheetId="2">
        <row r="55">
          <cell r="F55">
            <v>33563.460000000028</v>
          </cell>
        </row>
        <row r="58">
          <cell r="F58">
            <v>3.49</v>
          </cell>
        </row>
        <row r="68">
          <cell r="F68">
            <v>100</v>
          </cell>
        </row>
      </sheetData>
      <sheetData sheetId="3">
        <row r="29">
          <cell r="D29">
            <v>-1.4566126083082054E-13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4">
          <cell r="M14">
            <v>2</v>
          </cell>
        </row>
        <row r="15">
          <cell r="M15">
            <v>14</v>
          </cell>
        </row>
        <row r="17">
          <cell r="M17">
            <v>35</v>
          </cell>
        </row>
        <row r="18">
          <cell r="M18">
            <v>32</v>
          </cell>
        </row>
        <row r="19">
          <cell r="M19">
            <v>28</v>
          </cell>
        </row>
        <row r="20">
          <cell r="M20">
            <v>3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x Return"/>
      <sheetName val="Tax Receipts 2020"/>
      <sheetName val="Position Statement"/>
      <sheetName val="Operating Statement"/>
      <sheetName val="Donations"/>
      <sheetName val="Events"/>
      <sheetName val="CanadaHelps"/>
    </sheetNames>
    <sheetDataSet>
      <sheetData sheetId="0" refreshError="1"/>
      <sheetData sheetId="1">
        <row r="25">
          <cell r="E25">
            <v>55</v>
          </cell>
        </row>
        <row r="26">
          <cell r="E26">
            <v>100</v>
          </cell>
        </row>
        <row r="27">
          <cell r="E27">
            <v>50</v>
          </cell>
        </row>
        <row r="28">
          <cell r="E28">
            <v>200</v>
          </cell>
        </row>
        <row r="29">
          <cell r="E29">
            <v>2000</v>
          </cell>
        </row>
        <row r="30">
          <cell r="E30">
            <v>100</v>
          </cell>
        </row>
        <row r="31">
          <cell r="E31">
            <v>500</v>
          </cell>
        </row>
        <row r="32">
          <cell r="E32">
            <v>500</v>
          </cell>
        </row>
        <row r="33">
          <cell r="E33">
            <v>50</v>
          </cell>
        </row>
        <row r="34">
          <cell r="E34">
            <v>855</v>
          </cell>
        </row>
        <row r="35">
          <cell r="E35">
            <v>25</v>
          </cell>
        </row>
        <row r="36">
          <cell r="E36">
            <v>100</v>
          </cell>
        </row>
        <row r="37">
          <cell r="E37">
            <v>50</v>
          </cell>
        </row>
        <row r="38">
          <cell r="E38">
            <v>50</v>
          </cell>
        </row>
        <row r="39">
          <cell r="E39">
            <v>100</v>
          </cell>
        </row>
        <row r="40">
          <cell r="E40">
            <v>100</v>
          </cell>
        </row>
        <row r="41">
          <cell r="E41">
            <v>25</v>
          </cell>
        </row>
        <row r="42">
          <cell r="E42">
            <v>25</v>
          </cell>
        </row>
        <row r="43">
          <cell r="E43">
            <v>100</v>
          </cell>
        </row>
        <row r="44">
          <cell r="E44">
            <v>50</v>
          </cell>
        </row>
        <row r="45">
          <cell r="E45">
            <v>114</v>
          </cell>
        </row>
        <row r="46">
          <cell r="E46">
            <v>20</v>
          </cell>
        </row>
        <row r="47">
          <cell r="E47">
            <v>300</v>
          </cell>
        </row>
        <row r="48">
          <cell r="E48">
            <v>25</v>
          </cell>
        </row>
        <row r="49">
          <cell r="E49">
            <v>50</v>
          </cell>
        </row>
        <row r="50">
          <cell r="E50">
            <v>200</v>
          </cell>
        </row>
        <row r="51">
          <cell r="E51">
            <v>100</v>
          </cell>
        </row>
        <row r="52">
          <cell r="E52">
            <v>100</v>
          </cell>
        </row>
        <row r="53">
          <cell r="E53">
            <v>100</v>
          </cell>
        </row>
        <row r="54">
          <cell r="E54">
            <v>100</v>
          </cell>
        </row>
        <row r="55">
          <cell r="E55">
            <v>50</v>
          </cell>
        </row>
        <row r="56">
          <cell r="E56">
            <v>300</v>
          </cell>
        </row>
        <row r="57">
          <cell r="E57">
            <v>100</v>
          </cell>
        </row>
        <row r="58">
          <cell r="E58">
            <v>25</v>
          </cell>
        </row>
        <row r="59">
          <cell r="E59">
            <v>100</v>
          </cell>
        </row>
        <row r="60">
          <cell r="E60">
            <v>100</v>
          </cell>
        </row>
        <row r="61">
          <cell r="E61">
            <v>200</v>
          </cell>
        </row>
        <row r="62">
          <cell r="E62">
            <v>1000</v>
          </cell>
        </row>
        <row r="63">
          <cell r="E63">
            <v>50</v>
          </cell>
        </row>
        <row r="64">
          <cell r="E64">
            <v>100</v>
          </cell>
        </row>
        <row r="65">
          <cell r="E65">
            <v>25</v>
          </cell>
        </row>
        <row r="66">
          <cell r="E66">
            <v>100</v>
          </cell>
        </row>
        <row r="67">
          <cell r="E67">
            <v>50</v>
          </cell>
        </row>
        <row r="68">
          <cell r="E68">
            <v>50000</v>
          </cell>
        </row>
        <row r="69">
          <cell r="E69">
            <v>600</v>
          </cell>
        </row>
        <row r="70">
          <cell r="E70">
            <v>50</v>
          </cell>
        </row>
        <row r="71">
          <cell r="E71">
            <v>50</v>
          </cell>
        </row>
        <row r="72">
          <cell r="E72">
            <v>100</v>
          </cell>
        </row>
        <row r="73">
          <cell r="E73">
            <v>2000</v>
          </cell>
        </row>
        <row r="74">
          <cell r="E74">
            <v>50</v>
          </cell>
        </row>
        <row r="75">
          <cell r="E75">
            <v>100</v>
          </cell>
        </row>
        <row r="76">
          <cell r="E76">
            <v>200</v>
          </cell>
        </row>
        <row r="77">
          <cell r="E77">
            <v>250</v>
          </cell>
        </row>
        <row r="78">
          <cell r="E78">
            <v>500</v>
          </cell>
        </row>
        <row r="79">
          <cell r="E79">
            <v>200</v>
          </cell>
        </row>
        <row r="80">
          <cell r="E80">
            <v>100</v>
          </cell>
        </row>
        <row r="81">
          <cell r="E81">
            <v>50</v>
          </cell>
        </row>
        <row r="82">
          <cell r="E82">
            <v>2000</v>
          </cell>
        </row>
        <row r="83">
          <cell r="E83">
            <v>110</v>
          </cell>
        </row>
        <row r="84">
          <cell r="E84">
            <v>200</v>
          </cell>
        </row>
        <row r="85">
          <cell r="E85">
            <v>25</v>
          </cell>
        </row>
        <row r="86">
          <cell r="E86">
            <v>100</v>
          </cell>
        </row>
        <row r="87">
          <cell r="E87">
            <v>300</v>
          </cell>
        </row>
        <row r="88">
          <cell r="E88">
            <v>50</v>
          </cell>
        </row>
        <row r="89">
          <cell r="E89">
            <v>75</v>
          </cell>
        </row>
        <row r="90">
          <cell r="E90">
            <v>2000</v>
          </cell>
        </row>
        <row r="91">
          <cell r="E91">
            <v>980</v>
          </cell>
        </row>
        <row r="92">
          <cell r="E92">
            <v>750</v>
          </cell>
        </row>
        <row r="93">
          <cell r="E93">
            <v>300</v>
          </cell>
        </row>
        <row r="94">
          <cell r="E94">
            <v>100</v>
          </cell>
        </row>
        <row r="95">
          <cell r="E95">
            <v>50</v>
          </cell>
        </row>
        <row r="96">
          <cell r="E96">
            <v>500</v>
          </cell>
        </row>
        <row r="97">
          <cell r="E97">
            <v>50</v>
          </cell>
        </row>
        <row r="98">
          <cell r="E98">
            <v>20</v>
          </cell>
        </row>
        <row r="99">
          <cell r="E99">
            <v>100</v>
          </cell>
        </row>
        <row r="100">
          <cell r="E100">
            <v>2000</v>
          </cell>
        </row>
        <row r="101">
          <cell r="E101">
            <v>25</v>
          </cell>
        </row>
        <row r="102">
          <cell r="E102">
            <v>50</v>
          </cell>
        </row>
        <row r="103">
          <cell r="E103">
            <v>50</v>
          </cell>
        </row>
        <row r="104">
          <cell r="E104">
            <v>20</v>
          </cell>
        </row>
        <row r="105">
          <cell r="E105">
            <v>200</v>
          </cell>
        </row>
        <row r="106">
          <cell r="E106">
            <v>2000</v>
          </cell>
        </row>
        <row r="107">
          <cell r="E107">
            <v>350</v>
          </cell>
        </row>
        <row r="108">
          <cell r="E108">
            <v>100</v>
          </cell>
        </row>
        <row r="109">
          <cell r="E109">
            <v>25</v>
          </cell>
        </row>
        <row r="110">
          <cell r="E110">
            <v>50</v>
          </cell>
        </row>
        <row r="111">
          <cell r="E111">
            <v>500</v>
          </cell>
        </row>
        <row r="112">
          <cell r="E112">
            <v>25</v>
          </cell>
        </row>
        <row r="113">
          <cell r="E113">
            <v>50</v>
          </cell>
        </row>
        <row r="114">
          <cell r="E114">
            <v>20</v>
          </cell>
        </row>
        <row r="115">
          <cell r="E115">
            <v>50</v>
          </cell>
        </row>
        <row r="116">
          <cell r="E116">
            <v>25</v>
          </cell>
        </row>
        <row r="117">
          <cell r="E117">
            <v>50</v>
          </cell>
        </row>
        <row r="118">
          <cell r="E118">
            <v>20</v>
          </cell>
        </row>
        <row r="119">
          <cell r="E119">
            <v>250</v>
          </cell>
        </row>
        <row r="120">
          <cell r="E120">
            <v>100</v>
          </cell>
        </row>
        <row r="121">
          <cell r="E121">
            <v>20</v>
          </cell>
        </row>
        <row r="122">
          <cell r="E122">
            <v>200</v>
          </cell>
        </row>
        <row r="123">
          <cell r="E123">
            <v>20</v>
          </cell>
        </row>
        <row r="124">
          <cell r="E124">
            <v>25</v>
          </cell>
        </row>
        <row r="125">
          <cell r="E125">
            <v>500</v>
          </cell>
        </row>
        <row r="126">
          <cell r="E126">
            <v>25</v>
          </cell>
        </row>
        <row r="127">
          <cell r="E127">
            <v>25</v>
          </cell>
        </row>
        <row r="128">
          <cell r="E128">
            <v>25</v>
          </cell>
        </row>
        <row r="129">
          <cell r="E129">
            <v>50</v>
          </cell>
        </row>
        <row r="130">
          <cell r="E130">
            <v>100</v>
          </cell>
        </row>
        <row r="131">
          <cell r="E131">
            <v>25</v>
          </cell>
        </row>
        <row r="132">
          <cell r="E132">
            <v>25</v>
          </cell>
        </row>
        <row r="133">
          <cell r="E133">
            <v>100</v>
          </cell>
        </row>
        <row r="134">
          <cell r="E134">
            <v>100</v>
          </cell>
        </row>
        <row r="135">
          <cell r="E135">
            <v>100</v>
          </cell>
        </row>
        <row r="136">
          <cell r="E136">
            <v>50</v>
          </cell>
        </row>
        <row r="137">
          <cell r="E137">
            <v>100</v>
          </cell>
        </row>
        <row r="138">
          <cell r="E138">
            <v>50</v>
          </cell>
        </row>
        <row r="139">
          <cell r="E139">
            <v>100</v>
          </cell>
        </row>
        <row r="140">
          <cell r="E140">
            <v>100</v>
          </cell>
        </row>
        <row r="141">
          <cell r="E141">
            <v>50</v>
          </cell>
        </row>
        <row r="142">
          <cell r="E142">
            <v>250</v>
          </cell>
        </row>
        <row r="143">
          <cell r="E143">
            <v>1042</v>
          </cell>
        </row>
        <row r="144">
          <cell r="E144">
            <v>100</v>
          </cell>
        </row>
        <row r="145">
          <cell r="E145">
            <v>800</v>
          </cell>
        </row>
        <row r="146">
          <cell r="E146">
            <v>500</v>
          </cell>
        </row>
        <row r="147">
          <cell r="E147">
            <v>100</v>
          </cell>
        </row>
        <row r="148">
          <cell r="E148">
            <v>100</v>
          </cell>
        </row>
        <row r="149">
          <cell r="E149">
            <v>110</v>
          </cell>
        </row>
        <row r="150">
          <cell r="E150">
            <v>2000</v>
          </cell>
        </row>
        <row r="151">
          <cell r="E151">
            <v>2000</v>
          </cell>
        </row>
        <row r="152">
          <cell r="E152">
            <v>160</v>
          </cell>
        </row>
        <row r="153">
          <cell r="E153">
            <v>100</v>
          </cell>
        </row>
        <row r="154">
          <cell r="E154">
            <v>100</v>
          </cell>
        </row>
        <row r="155">
          <cell r="E155">
            <v>200</v>
          </cell>
        </row>
        <row r="156">
          <cell r="E156">
            <v>2000</v>
          </cell>
        </row>
        <row r="157">
          <cell r="E157">
            <v>100</v>
          </cell>
        </row>
        <row r="158">
          <cell r="E158">
            <v>30000</v>
          </cell>
        </row>
        <row r="159">
          <cell r="E159">
            <v>1000</v>
          </cell>
        </row>
        <row r="160">
          <cell r="E160">
            <v>1000</v>
          </cell>
        </row>
        <row r="161">
          <cell r="E161">
            <v>1500</v>
          </cell>
        </row>
        <row r="162">
          <cell r="E162">
            <v>50</v>
          </cell>
        </row>
        <row r="163">
          <cell r="E163">
            <v>25</v>
          </cell>
        </row>
        <row r="165">
          <cell r="E165">
            <v>40</v>
          </cell>
        </row>
        <row r="166">
          <cell r="E166">
            <v>50</v>
          </cell>
        </row>
        <row r="167">
          <cell r="E167">
            <v>100</v>
          </cell>
        </row>
        <row r="169">
          <cell r="E169">
            <v>20</v>
          </cell>
        </row>
        <row r="170">
          <cell r="E170">
            <v>20</v>
          </cell>
        </row>
        <row r="171">
          <cell r="E171">
            <v>20</v>
          </cell>
        </row>
        <row r="172">
          <cell r="E172">
            <v>20</v>
          </cell>
        </row>
        <row r="173">
          <cell r="E173">
            <v>20</v>
          </cell>
        </row>
        <row r="174">
          <cell r="E174">
            <v>30</v>
          </cell>
        </row>
        <row r="175">
          <cell r="E175">
            <v>50</v>
          </cell>
        </row>
        <row r="176">
          <cell r="E176">
            <v>100</v>
          </cell>
        </row>
      </sheetData>
      <sheetData sheetId="2">
        <row r="24">
          <cell r="F24">
            <v>27605.67000000002</v>
          </cell>
        </row>
        <row r="26">
          <cell r="F26">
            <v>120</v>
          </cell>
        </row>
        <row r="30">
          <cell r="F30">
            <v>27725.67000000002</v>
          </cell>
        </row>
        <row r="42">
          <cell r="F42">
            <v>7417.3700000001054</v>
          </cell>
        </row>
      </sheetData>
      <sheetData sheetId="3">
        <row r="7">
          <cell r="G7">
            <v>15215.94</v>
          </cell>
        </row>
        <row r="8">
          <cell r="G8">
            <v>141</v>
          </cell>
        </row>
        <row r="10">
          <cell r="G10">
            <v>0</v>
          </cell>
        </row>
        <row r="11">
          <cell r="G11">
            <v>0</v>
          </cell>
        </row>
        <row r="12">
          <cell r="G12">
            <v>0</v>
          </cell>
        </row>
        <row r="13">
          <cell r="G13">
            <v>478.97</v>
          </cell>
        </row>
        <row r="15">
          <cell r="G15">
            <v>188625.8</v>
          </cell>
        </row>
        <row r="18">
          <cell r="G18">
            <v>622.29999999999995</v>
          </cell>
        </row>
        <row r="19">
          <cell r="G19">
            <v>0</v>
          </cell>
        </row>
        <row r="20">
          <cell r="G20">
            <v>807</v>
          </cell>
        </row>
        <row r="21">
          <cell r="G21">
            <v>1600</v>
          </cell>
        </row>
        <row r="22">
          <cell r="G22">
            <v>42.3</v>
          </cell>
        </row>
        <row r="23">
          <cell r="G23">
            <v>1776.2299999999998</v>
          </cell>
        </row>
        <row r="24">
          <cell r="G24">
            <v>0</v>
          </cell>
        </row>
        <row r="25">
          <cell r="G25">
            <v>285347.92</v>
          </cell>
        </row>
        <row r="26">
          <cell r="G26">
            <v>0</v>
          </cell>
        </row>
        <row r="27">
          <cell r="G27">
            <v>420</v>
          </cell>
          <cell r="P27">
            <v>176.75</v>
          </cell>
        </row>
        <row r="28">
          <cell r="G28">
            <v>159.97999999999999</v>
          </cell>
          <cell r="P28">
            <v>199.95</v>
          </cell>
        </row>
        <row r="29">
          <cell r="G29">
            <v>228</v>
          </cell>
          <cell r="P29">
            <v>100</v>
          </cell>
        </row>
        <row r="30">
          <cell r="G30">
            <v>224.33973451327438</v>
          </cell>
          <cell r="P30">
            <v>71</v>
          </cell>
        </row>
        <row r="31">
          <cell r="G31">
            <v>0</v>
          </cell>
          <cell r="P31">
            <v>115</v>
          </cell>
        </row>
        <row r="32">
          <cell r="G32">
            <v>24</v>
          </cell>
        </row>
        <row r="33">
          <cell r="G33">
            <v>662.7</v>
          </cell>
        </row>
        <row r="34">
          <cell r="G34">
            <v>222.85026548672559</v>
          </cell>
        </row>
        <row r="35">
          <cell r="G35">
            <v>128</v>
          </cell>
        </row>
        <row r="36">
          <cell r="G36">
            <v>40.35</v>
          </cell>
        </row>
        <row r="38">
          <cell r="G38">
            <v>292305.96999999997</v>
          </cell>
        </row>
      </sheetData>
      <sheetData sheetId="4">
        <row r="15">
          <cell r="C15">
            <v>1715</v>
          </cell>
          <cell r="D15">
            <v>50</v>
          </cell>
          <cell r="E15">
            <v>48938.21</v>
          </cell>
          <cell r="F15">
            <v>1777.9699999999998</v>
          </cell>
          <cell r="G15">
            <v>121746</v>
          </cell>
          <cell r="H15">
            <v>290.68</v>
          </cell>
          <cell r="K15">
            <v>0</v>
          </cell>
        </row>
      </sheetData>
      <sheetData sheetId="5" refreshError="1"/>
      <sheetData sheetId="6">
        <row r="159">
          <cell r="E159">
            <v>48936.21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Harry Potter Day"/>
    </sheetNames>
    <sheetDataSet>
      <sheetData sheetId="0">
        <row r="3">
          <cell r="F3" t="str">
            <v>AS OF: May 31, 2020</v>
          </cell>
        </row>
        <row r="24">
          <cell r="F24">
            <v>131235.84</v>
          </cell>
        </row>
      </sheetData>
      <sheetData sheetId="1">
        <row r="7">
          <cell r="G7">
            <v>19197.87</v>
          </cell>
        </row>
      </sheetData>
      <sheetData sheetId="2">
        <row r="6">
          <cell r="F6">
            <v>130136.3</v>
          </cell>
        </row>
        <row r="58">
          <cell r="F58">
            <v>2.4499999999999997</v>
          </cell>
        </row>
        <row r="68">
          <cell r="F68">
            <v>70</v>
          </cell>
        </row>
      </sheetData>
      <sheetData sheetId="3">
        <row r="4">
          <cell r="D4">
            <v>275.66999999999985</v>
          </cell>
        </row>
      </sheetData>
      <sheetData sheetId="4">
        <row r="5">
          <cell r="D5">
            <v>101651.94000000008</v>
          </cell>
        </row>
      </sheetData>
      <sheetData sheetId="5"/>
      <sheetData sheetId="6"/>
      <sheetData sheetId="7"/>
      <sheetData sheetId="8"/>
      <sheetData sheetId="9">
        <row r="20">
          <cell r="N20">
            <v>52.9</v>
          </cell>
        </row>
      </sheetData>
      <sheetData sheetId="10">
        <row r="23">
          <cell r="F23">
            <v>0</v>
          </cell>
        </row>
      </sheetData>
      <sheetData sheetId="11">
        <row r="23">
          <cell r="F23">
            <v>0</v>
          </cell>
        </row>
      </sheetData>
      <sheetData sheetId="12">
        <row r="23">
          <cell r="F23">
            <v>0</v>
          </cell>
        </row>
      </sheetData>
      <sheetData sheetId="13">
        <row r="23">
          <cell r="F23">
            <v>0</v>
          </cell>
        </row>
      </sheetData>
      <sheetData sheetId="14">
        <row r="23">
          <cell r="F23">
            <v>0</v>
          </cell>
        </row>
      </sheetData>
      <sheetData sheetId="15">
        <row r="23">
          <cell r="F23">
            <v>0</v>
          </cell>
        </row>
      </sheetData>
      <sheetData sheetId="16">
        <row r="23">
          <cell r="F23">
            <v>0</v>
          </cell>
        </row>
      </sheetData>
      <sheetData sheetId="17">
        <row r="23">
          <cell r="F23">
            <v>0</v>
          </cell>
        </row>
      </sheetData>
      <sheetData sheetId="18">
        <row r="23">
          <cell r="F23">
            <v>0</v>
          </cell>
        </row>
      </sheetData>
      <sheetData sheetId="19">
        <row r="23">
          <cell r="F23">
            <v>0</v>
          </cell>
        </row>
      </sheetData>
      <sheetData sheetId="20">
        <row r="23">
          <cell r="F23">
            <v>0</v>
          </cell>
        </row>
      </sheetData>
      <sheetData sheetId="21">
        <row r="23">
          <cell r="F23">
            <v>0</v>
          </cell>
        </row>
      </sheetData>
      <sheetData sheetId="22">
        <row r="23">
          <cell r="F23">
            <v>0</v>
          </cell>
        </row>
      </sheetData>
      <sheetData sheetId="23">
        <row r="23">
          <cell r="F23">
            <v>0</v>
          </cell>
        </row>
      </sheetData>
      <sheetData sheetId="24">
        <row r="23">
          <cell r="F23">
            <v>0</v>
          </cell>
        </row>
      </sheetData>
      <sheetData sheetId="25">
        <row r="21">
          <cell r="F21">
            <v>0</v>
          </cell>
        </row>
      </sheetData>
      <sheetData sheetId="26">
        <row r="21">
          <cell r="F21">
            <v>0</v>
          </cell>
        </row>
      </sheetData>
      <sheetData sheetId="27">
        <row r="21">
          <cell r="F21">
            <v>0</v>
          </cell>
        </row>
      </sheetData>
      <sheetData sheetId="28">
        <row r="21">
          <cell r="F21">
            <v>0</v>
          </cell>
        </row>
      </sheetData>
      <sheetData sheetId="29">
        <row r="21">
          <cell r="F21">
            <v>0</v>
          </cell>
        </row>
      </sheetData>
      <sheetData sheetId="30"/>
      <sheetData sheetId="31">
        <row r="10">
          <cell r="C10">
            <v>281</v>
          </cell>
        </row>
      </sheetData>
      <sheetData sheetId="32">
        <row r="10">
          <cell r="C10">
            <v>0</v>
          </cell>
        </row>
      </sheetData>
      <sheetData sheetId="33">
        <row r="10">
          <cell r="C10">
            <v>0</v>
          </cell>
        </row>
      </sheetData>
      <sheetData sheetId="34">
        <row r="10">
          <cell r="C10">
            <v>0</v>
          </cell>
        </row>
      </sheetData>
      <sheetData sheetId="35">
        <row r="10">
          <cell r="C10">
            <v>0</v>
          </cell>
        </row>
      </sheetData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Savings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Silent Auction"/>
    </sheetNames>
    <sheetDataSet>
      <sheetData sheetId="0">
        <row r="24">
          <cell r="F24">
            <v>260324.76</v>
          </cell>
        </row>
      </sheetData>
      <sheetData sheetId="1">
        <row r="7">
          <cell r="G7">
            <v>18362.86</v>
          </cell>
        </row>
      </sheetData>
      <sheetData sheetId="2">
        <row r="59">
          <cell r="F59">
            <v>7</v>
          </cell>
        </row>
      </sheetData>
      <sheetData sheetId="3"/>
      <sheetData sheetId="4"/>
      <sheetData sheetId="5">
        <row r="5">
          <cell r="D5">
            <v>162670.14000000001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/>
      <sheetData sheetId="1">
        <row r="7">
          <cell r="G7">
            <v>3924.4800000000005</v>
          </cell>
        </row>
        <row r="9">
          <cell r="D9">
            <v>3682</v>
          </cell>
        </row>
        <row r="10">
          <cell r="D10">
            <v>0</v>
          </cell>
        </row>
        <row r="11">
          <cell r="D11"/>
        </row>
      </sheetData>
      <sheetData sheetId="2">
        <row r="68">
          <cell r="F68">
            <v>145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30">
          <cell r="F30">
            <v>2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X10">
            <v>250</v>
          </cell>
          <cell r="Y10">
            <v>8.9199999999999982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Operating Statement (2)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 refreshError="1"/>
      <sheetData sheetId="1">
        <row r="7">
          <cell r="G7">
            <v>8215.16</v>
          </cell>
        </row>
        <row r="9">
          <cell r="D9">
            <v>75655</v>
          </cell>
        </row>
        <row r="10">
          <cell r="D10">
            <v>0</v>
          </cell>
        </row>
      </sheetData>
      <sheetData sheetId="2" refreshError="1"/>
      <sheetData sheetId="3">
        <row r="55">
          <cell r="F55">
            <v>118837.45000000001</v>
          </cell>
        </row>
        <row r="68">
          <cell r="F68">
            <v>2270</v>
          </cell>
        </row>
      </sheetData>
      <sheetData sheetId="4">
        <row r="29">
          <cell r="D29">
            <v>-9.0900000000001455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0">
          <cell r="F30">
            <v>2</v>
          </cell>
        </row>
      </sheetData>
      <sheetData sheetId="18" refreshError="1"/>
      <sheetData sheetId="19" refreshError="1"/>
      <sheetData sheetId="20">
        <row r="30">
          <cell r="F30">
            <v>2</v>
          </cell>
        </row>
      </sheetData>
      <sheetData sheetId="21" refreshError="1"/>
      <sheetData sheetId="22">
        <row r="30">
          <cell r="F30">
            <v>2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0">
          <cell r="X10">
            <v>17025</v>
          </cell>
          <cell r="Y10">
            <v>643.09000000000026</v>
          </cell>
        </row>
      </sheetData>
      <sheetData sheetId="33">
        <row r="12">
          <cell r="AF12">
            <v>10</v>
          </cell>
        </row>
      </sheetData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97544.74000000002</v>
          </cell>
        </row>
      </sheetData>
      <sheetData sheetId="1">
        <row r="7">
          <cell r="G7">
            <v>14116.62</v>
          </cell>
        </row>
        <row r="9">
          <cell r="D9">
            <v>39888</v>
          </cell>
        </row>
      </sheetData>
      <sheetData sheetId="2">
        <row r="55">
          <cell r="F55">
            <v>97544.74000000002</v>
          </cell>
        </row>
        <row r="70">
          <cell r="F70">
            <v>550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76993.700000000099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14">
          <cell r="M14">
            <v>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5308</v>
          </cell>
          <cell r="Y10">
            <v>202.26999999999992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100201.67000000001</v>
          </cell>
        </row>
      </sheetData>
      <sheetData sheetId="1">
        <row r="7">
          <cell r="G7">
            <v>14756.62</v>
          </cell>
        </row>
        <row r="9">
          <cell r="D9">
            <v>2190</v>
          </cell>
        </row>
      </sheetData>
      <sheetData sheetId="2">
        <row r="55">
          <cell r="F55">
            <v>100201.67000000001</v>
          </cell>
        </row>
        <row r="70">
          <cell r="F70">
            <v>70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78679.340000000098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14">
          <cell r="M14">
            <v>14</v>
          </cell>
        </row>
      </sheetData>
      <sheetData sheetId="11">
        <row r="30">
          <cell r="F30">
            <v>20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125</v>
          </cell>
          <cell r="Y10">
            <v>4.3599999999999994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102094.55000000002</v>
          </cell>
        </row>
      </sheetData>
      <sheetData sheetId="1">
        <row r="7">
          <cell r="G7">
            <v>14756.62</v>
          </cell>
        </row>
        <row r="9">
          <cell r="D9">
            <v>1955</v>
          </cell>
        </row>
      </sheetData>
      <sheetData sheetId="2">
        <row r="55">
          <cell r="F55">
            <v>102094.55000000002</v>
          </cell>
        </row>
        <row r="70">
          <cell r="F70">
            <v>70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80631.720000000103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14">
          <cell r="M14">
            <v>14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75</v>
          </cell>
          <cell r="Y10">
            <v>2.6199999999999997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20">
          <cell r="F20">
            <v>45.61</v>
          </cell>
        </row>
      </sheetData>
      <sheetData sheetId="1">
        <row r="9">
          <cell r="D9">
            <v>550</v>
          </cell>
        </row>
        <row r="11">
          <cell r="D11"/>
        </row>
      </sheetData>
      <sheetData sheetId="2">
        <row r="70">
          <cell r="F70">
            <v>70</v>
          </cell>
        </row>
      </sheetData>
      <sheetData sheetId="3"/>
      <sheetData sheetId="4">
        <row r="22">
          <cell r="B22">
            <v>440000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100</v>
          </cell>
          <cell r="Y10">
            <v>3.56</v>
          </cell>
        </row>
        <row r="12">
          <cell r="AF12">
            <v>150</v>
          </cell>
        </row>
      </sheetData>
      <sheetData sheetId="33"/>
      <sheetData sheetId="34"/>
      <sheetData sheetId="35"/>
      <sheetData sheetId="36"/>
      <sheetData sheetId="3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27066.270000000019</v>
          </cell>
        </row>
      </sheetData>
      <sheetData sheetId="1">
        <row r="7">
          <cell r="G7">
            <v>14756.62</v>
          </cell>
        </row>
        <row r="9">
          <cell r="D9">
            <v>75</v>
          </cell>
        </row>
      </sheetData>
      <sheetData sheetId="2">
        <row r="68">
          <cell r="F68">
            <v>70</v>
          </cell>
        </row>
        <row r="70">
          <cell r="F70">
            <v>70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0">
          <cell r="X10">
            <v>75</v>
          </cell>
          <cell r="Y10">
            <v>2.6199999999999997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>
        <row r="22">
          <cell r="F22">
            <v>132.9</v>
          </cell>
        </row>
      </sheetData>
      <sheetData sheetId="1">
        <row r="9">
          <cell r="D9">
            <v>3175</v>
          </cell>
        </row>
        <row r="10">
          <cell r="D10">
            <v>0</v>
          </cell>
          <cell r="G10">
            <v>0</v>
          </cell>
        </row>
        <row r="11">
          <cell r="D11"/>
          <cell r="G11">
            <v>0</v>
          </cell>
        </row>
      </sheetData>
      <sheetData sheetId="2">
        <row r="68">
          <cell r="F68">
            <v>120</v>
          </cell>
        </row>
      </sheetData>
      <sheetData sheetId="3"/>
      <sheetData sheetId="4">
        <row r="22">
          <cell r="B22">
            <v>265000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F30">
            <v>50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10">
          <cell r="X10">
            <v>2725</v>
          </cell>
          <cell r="Y10">
            <v>107.97999999999999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63993.270000000011</v>
          </cell>
        </row>
      </sheetData>
      <sheetData sheetId="1">
        <row r="7">
          <cell r="G7">
            <v>14116.62</v>
          </cell>
        </row>
        <row r="9">
          <cell r="D9">
            <v>16237.21</v>
          </cell>
        </row>
        <row r="11">
          <cell r="D11"/>
        </row>
      </sheetData>
      <sheetData sheetId="2">
        <row r="55">
          <cell r="F55">
            <v>63993.270000000011</v>
          </cell>
        </row>
        <row r="68">
          <cell r="F68">
            <v>120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22216.080000000089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14">
          <cell r="M14">
            <v>9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0">
          <cell r="X10">
            <v>12730.21</v>
          </cell>
          <cell r="Y10">
            <v>398.85000000000008</v>
          </cell>
        </row>
      </sheetData>
      <sheetData sheetId="33">
        <row r="12">
          <cell r="AF12">
            <v>20</v>
          </cell>
        </row>
      </sheetData>
      <sheetData sheetId="34"/>
      <sheetData sheetId="35"/>
      <sheetData sheetId="36"/>
      <sheetData sheetId="37">
        <row r="10">
          <cell r="J10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3">
          <cell r="F3" t="str">
            <v>AS OF: May 31, 2021</v>
          </cell>
        </row>
      </sheetData>
      <sheetData sheetId="1">
        <row r="7">
          <cell r="D7">
            <v>459.32</v>
          </cell>
          <cell r="G7">
            <v>15215.94</v>
          </cell>
        </row>
        <row r="8">
          <cell r="G8">
            <v>141</v>
          </cell>
        </row>
        <row r="9">
          <cell r="D9">
            <v>75.680000000000007</v>
          </cell>
          <cell r="G9">
            <v>172789.88999999998</v>
          </cell>
        </row>
        <row r="10">
          <cell r="G10">
            <v>0</v>
          </cell>
        </row>
        <row r="11">
          <cell r="D11"/>
          <cell r="G11">
            <v>0</v>
          </cell>
        </row>
        <row r="12">
          <cell r="G12">
            <v>0</v>
          </cell>
        </row>
        <row r="13">
          <cell r="G13">
            <v>478.97</v>
          </cell>
        </row>
        <row r="15">
          <cell r="G15">
            <v>188625.8</v>
          </cell>
        </row>
        <row r="18">
          <cell r="G18">
            <v>622.29999999999995</v>
          </cell>
        </row>
        <row r="19">
          <cell r="G19">
            <v>0</v>
          </cell>
        </row>
        <row r="20">
          <cell r="G20">
            <v>807</v>
          </cell>
        </row>
        <row r="21">
          <cell r="G21">
            <v>1600</v>
          </cell>
        </row>
        <row r="22">
          <cell r="G22">
            <v>42.3</v>
          </cell>
        </row>
        <row r="23">
          <cell r="G23">
            <v>1776.2299999999998</v>
          </cell>
        </row>
        <row r="24">
          <cell r="G24">
            <v>0</v>
          </cell>
        </row>
        <row r="25">
          <cell r="G25">
            <v>285347.92</v>
          </cell>
        </row>
        <row r="26">
          <cell r="G26">
            <v>0</v>
          </cell>
        </row>
        <row r="27">
          <cell r="G27">
            <v>420</v>
          </cell>
        </row>
        <row r="28">
          <cell r="G28">
            <v>159.97999999999999</v>
          </cell>
        </row>
        <row r="29">
          <cell r="G29">
            <v>228</v>
          </cell>
        </row>
        <row r="30">
          <cell r="G30">
            <v>224.33973451327438</v>
          </cell>
        </row>
        <row r="31">
          <cell r="G31">
            <v>0</v>
          </cell>
        </row>
        <row r="32">
          <cell r="G32">
            <v>24</v>
          </cell>
        </row>
        <row r="33">
          <cell r="G33">
            <v>662.7</v>
          </cell>
        </row>
        <row r="34">
          <cell r="G34">
            <v>222.85026548672559</v>
          </cell>
        </row>
        <row r="35">
          <cell r="G35">
            <v>128</v>
          </cell>
        </row>
        <row r="36">
          <cell r="G36">
            <v>40.35</v>
          </cell>
        </row>
        <row r="38">
          <cell r="G38">
            <v>292305.96999999997</v>
          </cell>
        </row>
        <row r="40">
          <cell r="G40">
            <v>-103680.16999999998</v>
          </cell>
        </row>
      </sheetData>
      <sheetData sheetId="2">
        <row r="6">
          <cell r="F6">
            <v>27066.270000000019</v>
          </cell>
        </row>
        <row r="58">
          <cell r="F58">
            <v>4.1899999999999995</v>
          </cell>
        </row>
        <row r="68">
          <cell r="F68">
            <v>120</v>
          </cell>
        </row>
        <row r="70">
          <cell r="F70">
            <v>120</v>
          </cell>
        </row>
      </sheetData>
      <sheetData sheetId="3">
        <row r="4">
          <cell r="D4">
            <v>-9.0900000000001455</v>
          </cell>
        </row>
      </sheetData>
      <sheetData sheetId="4">
        <row r="5">
          <cell r="D5">
            <v>6371.1800000001058</v>
          </cell>
        </row>
        <row r="22">
          <cell r="B22">
            <v>440000</v>
          </cell>
        </row>
      </sheetData>
      <sheetData sheetId="5">
        <row r="5">
          <cell r="D5">
            <v>1042</v>
          </cell>
        </row>
      </sheetData>
      <sheetData sheetId="6"/>
      <sheetData sheetId="7"/>
      <sheetData sheetId="8"/>
      <sheetData sheetId="9"/>
      <sheetData sheetId="10">
        <row r="21">
          <cell r="N21">
            <v>45.61</v>
          </cell>
        </row>
      </sheetData>
      <sheetData sheetId="11">
        <row r="24">
          <cell r="F24">
            <v>460</v>
          </cell>
        </row>
        <row r="30">
          <cell r="F30">
            <v>0.68</v>
          </cell>
        </row>
      </sheetData>
      <sheetData sheetId="12">
        <row r="24">
          <cell r="F24">
            <v>0</v>
          </cell>
        </row>
      </sheetData>
      <sheetData sheetId="13">
        <row r="24">
          <cell r="F24">
            <v>0</v>
          </cell>
        </row>
      </sheetData>
      <sheetData sheetId="14">
        <row r="24">
          <cell r="F24">
            <v>0</v>
          </cell>
        </row>
      </sheetData>
      <sheetData sheetId="15">
        <row r="24">
          <cell r="F24">
            <v>0</v>
          </cell>
        </row>
      </sheetData>
      <sheetData sheetId="16">
        <row r="24">
          <cell r="F24">
            <v>0</v>
          </cell>
        </row>
      </sheetData>
      <sheetData sheetId="17">
        <row r="24">
          <cell r="F24">
            <v>0</v>
          </cell>
        </row>
      </sheetData>
      <sheetData sheetId="18">
        <row r="24">
          <cell r="F24">
            <v>0</v>
          </cell>
        </row>
      </sheetData>
      <sheetData sheetId="19">
        <row r="24">
          <cell r="F24">
            <v>0</v>
          </cell>
        </row>
      </sheetData>
      <sheetData sheetId="20">
        <row r="24">
          <cell r="F24">
            <v>0</v>
          </cell>
        </row>
      </sheetData>
      <sheetData sheetId="21">
        <row r="24">
          <cell r="F24">
            <v>0</v>
          </cell>
        </row>
      </sheetData>
      <sheetData sheetId="22">
        <row r="24">
          <cell r="F24">
            <v>0</v>
          </cell>
        </row>
      </sheetData>
      <sheetData sheetId="23">
        <row r="24">
          <cell r="F24">
            <v>0</v>
          </cell>
        </row>
      </sheetData>
      <sheetData sheetId="24">
        <row r="24">
          <cell r="F24">
            <v>0</v>
          </cell>
        </row>
      </sheetData>
      <sheetData sheetId="25">
        <row r="24">
          <cell r="F24">
            <v>0</v>
          </cell>
        </row>
      </sheetData>
      <sheetData sheetId="26">
        <row r="21">
          <cell r="F21">
            <v>0</v>
          </cell>
        </row>
      </sheetData>
      <sheetData sheetId="27">
        <row r="21">
          <cell r="F21">
            <v>0</v>
          </cell>
        </row>
      </sheetData>
      <sheetData sheetId="28">
        <row r="21">
          <cell r="F21">
            <v>0</v>
          </cell>
        </row>
      </sheetData>
      <sheetData sheetId="29">
        <row r="21">
          <cell r="F21">
            <v>0</v>
          </cell>
        </row>
      </sheetData>
      <sheetData sheetId="30">
        <row r="21">
          <cell r="F21">
            <v>0</v>
          </cell>
        </row>
      </sheetData>
      <sheetData sheetId="31"/>
      <sheetData sheetId="32">
        <row r="10">
          <cell r="C10">
            <v>125</v>
          </cell>
          <cell r="X10">
            <v>125</v>
          </cell>
          <cell r="Y10">
            <v>4.3599999999999994</v>
          </cell>
        </row>
      </sheetData>
      <sheetData sheetId="33">
        <row r="10">
          <cell r="C10">
            <v>0</v>
          </cell>
        </row>
      </sheetData>
      <sheetData sheetId="34">
        <row r="10">
          <cell r="C10">
            <v>0</v>
          </cell>
        </row>
      </sheetData>
      <sheetData sheetId="35">
        <row r="10">
          <cell r="C10">
            <v>0</v>
          </cell>
        </row>
      </sheetData>
      <sheetData sheetId="36">
        <row r="10">
          <cell r="C10">
            <v>0</v>
          </cell>
        </row>
      </sheetData>
      <sheetData sheetId="37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Sheet 16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Contributions"/>
    </sheetNames>
    <sheetDataSet>
      <sheetData sheetId="0">
        <row r="7">
          <cell r="F7">
            <v>34154.150000000031</v>
          </cell>
        </row>
      </sheetData>
      <sheetData sheetId="1">
        <row r="7">
          <cell r="G7">
            <v>16552.509999999998</v>
          </cell>
        </row>
      </sheetData>
      <sheetData sheetId="2">
        <row r="55">
          <cell r="F55">
            <v>34154.150000000031</v>
          </cell>
        </row>
        <row r="58">
          <cell r="F58">
            <v>3.4899999999999993</v>
          </cell>
        </row>
        <row r="66">
          <cell r="F66">
            <v>100</v>
          </cell>
        </row>
      </sheetData>
      <sheetData sheetId="3"/>
      <sheetData sheetId="4"/>
      <sheetData sheetId="5"/>
      <sheetData sheetId="6"/>
      <sheetData sheetId="7"/>
      <sheetData sheetId="8">
        <row r="14">
          <cell r="M14">
            <v>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46">
          <cell r="F46">
            <v>24904.479999999901</v>
          </cell>
        </row>
      </sheetData>
      <sheetData sheetId="1"/>
      <sheetData sheetId="2">
        <row r="58">
          <cell r="F58">
            <v>4.1899999999999995</v>
          </cell>
        </row>
      </sheetData>
      <sheetData sheetId="3"/>
      <sheetData sheetId="4">
        <row r="22">
          <cell r="B22">
            <v>530000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C2">
            <v>44414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</sheetNames>
    <sheetDataSet>
      <sheetData sheetId="0"/>
      <sheetData sheetId="1">
        <row r="9">
          <cell r="D9">
            <v>14112</v>
          </cell>
        </row>
        <row r="10">
          <cell r="D10">
            <v>0</v>
          </cell>
        </row>
        <row r="11">
          <cell r="D11"/>
        </row>
      </sheetData>
      <sheetData sheetId="2">
        <row r="68">
          <cell r="F68">
            <v>270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30">
          <cell r="F30">
            <v>2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>
        <row r="11">
          <cell r="D11">
            <v>0</v>
          </cell>
        </row>
      </sheetData>
      <sheetData sheetId="31">
        <row r="10">
          <cell r="X10">
            <v>975</v>
          </cell>
          <cell r="Y10">
            <v>36.230000000000011</v>
          </cell>
        </row>
        <row r="12">
          <cell r="AF12">
            <v>20</v>
          </cell>
        </row>
      </sheetData>
      <sheetData sheetId="32"/>
      <sheetData sheetId="33"/>
      <sheetData sheetId="34"/>
      <sheetData sheetId="3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Junior Library Fund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  <sheetName val="Building Fund - 2"/>
      <sheetName val="Building Fund - 3"/>
      <sheetName val="Building Fund - 4"/>
      <sheetName val="Building Fund - 5"/>
      <sheetName val="Junior Library"/>
    </sheetNames>
    <sheetDataSet>
      <sheetData sheetId="0">
        <row r="7">
          <cell r="F7">
            <v>58385.940000000017</v>
          </cell>
        </row>
      </sheetData>
      <sheetData sheetId="1">
        <row r="7">
          <cell r="G7">
            <v>14116.62</v>
          </cell>
        </row>
        <row r="9">
          <cell r="D9">
            <v>15195</v>
          </cell>
        </row>
      </sheetData>
      <sheetData sheetId="2">
        <row r="55">
          <cell r="F55">
            <v>58385.940000000017</v>
          </cell>
        </row>
        <row r="70">
          <cell r="F70">
            <v>70</v>
          </cell>
        </row>
      </sheetData>
      <sheetData sheetId="3">
        <row r="29">
          <cell r="D29">
            <v>-9.0900000000001455</v>
          </cell>
        </row>
      </sheetData>
      <sheetData sheetId="4">
        <row r="5">
          <cell r="D5">
            <v>36987.970000000088</v>
          </cell>
        </row>
      </sheetData>
      <sheetData sheetId="5">
        <row r="5">
          <cell r="D5">
            <v>1042</v>
          </cell>
        </row>
      </sheetData>
      <sheetData sheetId="6" refreshError="1"/>
      <sheetData sheetId="7" refreshError="1"/>
      <sheetData sheetId="8" refreshError="1"/>
      <sheetData sheetId="9" refreshError="1"/>
      <sheetData sheetId="10">
        <row r="14">
          <cell r="M14">
            <v>9</v>
          </cell>
        </row>
      </sheetData>
      <sheetData sheetId="11">
        <row r="30">
          <cell r="F30">
            <v>10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10">
          <cell r="X10">
            <v>9425</v>
          </cell>
          <cell r="Y10">
            <v>363.11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on Statement"/>
      <sheetName val="Operating Statement"/>
      <sheetName val="Chequing"/>
      <sheetName val="Petty Cash"/>
      <sheetName val="Building Fund Escrow"/>
      <sheetName val="Deposit Slip"/>
      <sheetName val="Deposit Slip (2)"/>
      <sheetName val="Deposit Slip (3)"/>
      <sheetName val="Deposit Slip (4)"/>
      <sheetName val="Deposit Slip (5)"/>
      <sheetName val="Net Shed Tally Sheets - 1"/>
      <sheetName val="Sheet 2"/>
      <sheetName val="Sheet 3"/>
      <sheetName val="Sheet 4"/>
      <sheetName val="Sheet 5"/>
      <sheetName val="Sheet 6"/>
      <sheetName val="Sheet 7"/>
      <sheetName val="Sheet 8"/>
      <sheetName val="Sheet 9"/>
      <sheetName val="Sheet 10"/>
      <sheetName val="Sheet 11"/>
      <sheetName val="Sheet 12"/>
      <sheetName val="Sheet 13"/>
      <sheetName val="Sheet 14"/>
      <sheetName val="Sheet 15"/>
      <sheetName val="Sheet 16"/>
      <sheetName val="Concert Tally Sheets - 1"/>
      <sheetName val="Concert Tally Sheets - 2"/>
      <sheetName val="Concert Tally Sheets - 3"/>
      <sheetName val="Concert Tally Sheets - 4"/>
      <sheetName val="Concert Tally Sheets - 5"/>
      <sheetName val="Concert Summary"/>
      <sheetName val="Building Fund"/>
    </sheetNames>
    <sheetDataSet>
      <sheetData sheetId="0" refreshError="1"/>
      <sheetData sheetId="1">
        <row r="34">
          <cell r="K34">
            <v>127.28153846153845</v>
          </cell>
        </row>
        <row r="36">
          <cell r="K36">
            <v>204.97846153846154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719EF0-3644-4D43-9F7A-7C8053724E7F}">
  <dimension ref="A1:N88"/>
  <sheetViews>
    <sheetView workbookViewId="0">
      <selection activeCell="B4" sqref="B4"/>
    </sheetView>
  </sheetViews>
  <sheetFormatPr defaultRowHeight="15" x14ac:dyDescent="0.25"/>
  <cols>
    <col min="1" max="1" width="9.140625" style="124"/>
    <col min="2" max="2" width="12.5703125" style="125" bestFit="1" customWidth="1"/>
    <col min="3" max="3" width="9.140625" style="124"/>
    <col min="4" max="4" width="12.5703125" style="124" customWidth="1"/>
    <col min="5" max="5" width="12.28515625" style="124" customWidth="1"/>
    <col min="6" max="7" width="9.140625" style="124"/>
    <col min="8" max="8" width="11.5703125" style="124" bestFit="1" customWidth="1"/>
    <col min="9" max="11" width="9.140625" style="124"/>
    <col min="12" max="12" width="15" style="124" customWidth="1"/>
    <col min="13" max="16384" width="9.140625" style="124"/>
  </cols>
  <sheetData>
    <row r="1" spans="1:6" x14ac:dyDescent="0.25">
      <c r="A1" s="123" t="s">
        <v>174</v>
      </c>
      <c r="B1" s="123"/>
      <c r="C1" s="123"/>
      <c r="D1" s="123"/>
      <c r="E1" s="123"/>
      <c r="F1" s="123"/>
    </row>
    <row r="3" spans="1:6" x14ac:dyDescent="0.25">
      <c r="A3" s="124" t="s">
        <v>175</v>
      </c>
      <c r="B3" s="125" t="s">
        <v>126</v>
      </c>
      <c r="C3" s="124" t="s">
        <v>176</v>
      </c>
    </row>
    <row r="4" spans="1:6" x14ac:dyDescent="0.25">
      <c r="A4" s="124">
        <v>5450</v>
      </c>
      <c r="B4" s="125">
        <f>[10]Donations!E15</f>
        <v>48938.21</v>
      </c>
    </row>
    <row r="5" spans="1:6" x14ac:dyDescent="0.25">
      <c r="A5" s="124">
        <v>5460</v>
      </c>
      <c r="B5" s="125">
        <f>[10]Donations!F15</f>
        <v>1777.9699999999998</v>
      </c>
    </row>
    <row r="7" spans="1:6" x14ac:dyDescent="0.25">
      <c r="A7" s="124">
        <v>4020</v>
      </c>
      <c r="C7" s="124" t="s">
        <v>103</v>
      </c>
    </row>
    <row r="8" spans="1:6" x14ac:dyDescent="0.25">
      <c r="A8" s="124">
        <v>4100</v>
      </c>
      <c r="B8" s="125">
        <f>'[10]Position Statement'!F30-'[10]Position Statement'!F26</f>
        <v>27605.67000000002</v>
      </c>
    </row>
    <row r="9" spans="1:6" x14ac:dyDescent="0.25">
      <c r="A9" s="124">
        <v>4110</v>
      </c>
      <c r="B9" s="125">
        <v>0</v>
      </c>
    </row>
    <row r="10" spans="1:6" x14ac:dyDescent="0.25">
      <c r="A10" s="124">
        <v>4120</v>
      </c>
      <c r="B10" s="125">
        <f>'[10]Position Statement'!F26</f>
        <v>120</v>
      </c>
    </row>
    <row r="11" spans="1:6" x14ac:dyDescent="0.25">
      <c r="A11" s="124">
        <v>4130</v>
      </c>
      <c r="B11" s="125">
        <v>0</v>
      </c>
    </row>
    <row r="12" spans="1:6" x14ac:dyDescent="0.25">
      <c r="A12" s="124">
        <v>4140</v>
      </c>
      <c r="B12" s="125">
        <v>0</v>
      </c>
    </row>
    <row r="13" spans="1:6" x14ac:dyDescent="0.25">
      <c r="A13" s="124">
        <v>4150</v>
      </c>
      <c r="B13" s="125">
        <v>50000</v>
      </c>
      <c r="C13" s="124" t="s">
        <v>177</v>
      </c>
    </row>
    <row r="14" spans="1:6" x14ac:dyDescent="0.25">
      <c r="A14" s="124">
        <v>4155</v>
      </c>
      <c r="B14" s="125">
        <v>0</v>
      </c>
    </row>
    <row r="15" spans="1:6" x14ac:dyDescent="0.25">
      <c r="A15" s="124">
        <v>4160</v>
      </c>
      <c r="B15" s="125">
        <v>0</v>
      </c>
    </row>
    <row r="16" spans="1:6" x14ac:dyDescent="0.25">
      <c r="A16" s="124">
        <v>4165</v>
      </c>
      <c r="B16" s="125">
        <v>0</v>
      </c>
    </row>
    <row r="17" spans="1:3" x14ac:dyDescent="0.25">
      <c r="A17" s="124">
        <v>4166</v>
      </c>
      <c r="B17" s="125">
        <v>0</v>
      </c>
    </row>
    <row r="18" spans="1:3" x14ac:dyDescent="0.25">
      <c r="A18" s="124">
        <v>4170</v>
      </c>
      <c r="B18" s="125">
        <v>0</v>
      </c>
    </row>
    <row r="19" spans="1:3" x14ac:dyDescent="0.25">
      <c r="A19" s="124">
        <v>4180</v>
      </c>
      <c r="B19" s="125">
        <v>0</v>
      </c>
    </row>
    <row r="20" spans="1:3" x14ac:dyDescent="0.25">
      <c r="A20" s="124">
        <v>4200</v>
      </c>
      <c r="B20" s="125">
        <f>SUM(B8:B18)</f>
        <v>77725.670000000013</v>
      </c>
    </row>
    <row r="23" spans="1:3" x14ac:dyDescent="0.25">
      <c r="A23" s="124">
        <v>4300</v>
      </c>
      <c r="B23" s="125">
        <f>'[10]Position Statement'!F37</f>
        <v>0</v>
      </c>
    </row>
    <row r="24" spans="1:3" x14ac:dyDescent="0.25">
      <c r="A24" s="124">
        <v>4310</v>
      </c>
      <c r="B24" s="125">
        <v>0</v>
      </c>
    </row>
    <row r="25" spans="1:3" x14ac:dyDescent="0.25">
      <c r="A25" s="124">
        <v>4320</v>
      </c>
      <c r="B25" s="125">
        <v>0</v>
      </c>
    </row>
    <row r="26" spans="1:3" x14ac:dyDescent="0.25">
      <c r="A26" s="124">
        <v>4330</v>
      </c>
      <c r="B26" s="125">
        <f>'[10]Position Statement'!F42</f>
        <v>7417.3700000001054</v>
      </c>
    </row>
    <row r="27" spans="1:3" x14ac:dyDescent="0.25">
      <c r="A27" s="124">
        <v>4350</v>
      </c>
      <c r="B27" s="125">
        <f>SUM(B23:B26)</f>
        <v>7417.3700000001054</v>
      </c>
    </row>
    <row r="29" spans="1:3" x14ac:dyDescent="0.25">
      <c r="A29" s="124">
        <v>4250</v>
      </c>
      <c r="B29" s="125">
        <v>0</v>
      </c>
      <c r="C29" s="124" t="s">
        <v>178</v>
      </c>
    </row>
    <row r="32" spans="1:3" x14ac:dyDescent="0.25">
      <c r="A32" s="124">
        <v>4500</v>
      </c>
      <c r="B32" s="125">
        <f>[10]Donations!G15</f>
        <v>121746</v>
      </c>
      <c r="C32" s="124" t="s">
        <v>179</v>
      </c>
    </row>
    <row r="33" spans="1:12" x14ac:dyDescent="0.25">
      <c r="A33" s="124">
        <v>5610</v>
      </c>
      <c r="B33" s="125">
        <v>0</v>
      </c>
    </row>
    <row r="34" spans="1:12" x14ac:dyDescent="0.25">
      <c r="A34" s="124">
        <v>4505</v>
      </c>
      <c r="B34" s="125">
        <v>0</v>
      </c>
    </row>
    <row r="35" spans="1:12" x14ac:dyDescent="0.25">
      <c r="A35" s="124">
        <v>4510</v>
      </c>
      <c r="B35" s="125">
        <f>[10]Donations!C15</f>
        <v>1715</v>
      </c>
      <c r="C35" s="124" t="s">
        <v>180</v>
      </c>
      <c r="D35" s="124" t="s">
        <v>181</v>
      </c>
    </row>
    <row r="36" spans="1:12" x14ac:dyDescent="0.25">
      <c r="A36" s="124">
        <v>4530</v>
      </c>
      <c r="B36" s="125">
        <f>[10]Donations!E15+[10]Donations!H15</f>
        <v>49228.89</v>
      </c>
      <c r="C36" s="124" t="s">
        <v>182</v>
      </c>
      <c r="L36" s="125"/>
    </row>
    <row r="37" spans="1:12" x14ac:dyDescent="0.25">
      <c r="A37" s="124">
        <v>4540</v>
      </c>
      <c r="B37" s="125">
        <v>0</v>
      </c>
      <c r="C37" s="124" t="s">
        <v>183</v>
      </c>
    </row>
    <row r="38" spans="1:12" x14ac:dyDescent="0.25">
      <c r="A38" s="124">
        <v>4550</v>
      </c>
      <c r="B38" s="125">
        <v>0</v>
      </c>
      <c r="C38" s="124" t="s">
        <v>184</v>
      </c>
    </row>
    <row r="39" spans="1:12" x14ac:dyDescent="0.25">
      <c r="A39" s="124">
        <v>4560</v>
      </c>
      <c r="B39" s="125">
        <f>[10]Donations!D15</f>
        <v>50</v>
      </c>
      <c r="C39" s="124" t="s">
        <v>185</v>
      </c>
    </row>
    <row r="40" spans="1:12" x14ac:dyDescent="0.25">
      <c r="A40" s="124">
        <v>4571</v>
      </c>
      <c r="B40" s="125">
        <f>[10]Donations!J18</f>
        <v>0</v>
      </c>
      <c r="C40" s="124" t="s">
        <v>186</v>
      </c>
    </row>
    <row r="41" spans="1:12" x14ac:dyDescent="0.25">
      <c r="A41" s="124">
        <v>4575</v>
      </c>
      <c r="B41" s="125">
        <f>[10]Donations!K15</f>
        <v>0</v>
      </c>
      <c r="C41" s="124" t="s">
        <v>187</v>
      </c>
    </row>
    <row r="42" spans="1:12" x14ac:dyDescent="0.25">
      <c r="A42" s="124">
        <v>4580</v>
      </c>
      <c r="B42" s="126">
        <f>'[10]Operating Statement'!G12</f>
        <v>0</v>
      </c>
      <c r="C42" s="124" t="s">
        <v>41</v>
      </c>
      <c r="L42" s="127"/>
    </row>
    <row r="43" spans="1:12" x14ac:dyDescent="0.25">
      <c r="A43" s="124">
        <v>4590</v>
      </c>
      <c r="B43" s="125">
        <v>0</v>
      </c>
      <c r="C43" s="124" t="s">
        <v>188</v>
      </c>
    </row>
    <row r="44" spans="1:12" x14ac:dyDescent="0.25">
      <c r="A44" s="124">
        <v>4600</v>
      </c>
      <c r="B44" s="125">
        <v>0</v>
      </c>
      <c r="C44" s="124" t="s">
        <v>189</v>
      </c>
    </row>
    <row r="45" spans="1:12" x14ac:dyDescent="0.25">
      <c r="A45" s="124">
        <v>4610</v>
      </c>
      <c r="B45" s="125">
        <v>0</v>
      </c>
      <c r="C45" s="124" t="s">
        <v>190</v>
      </c>
    </row>
    <row r="46" spans="1:12" x14ac:dyDescent="0.25">
      <c r="A46" s="124">
        <v>4620</v>
      </c>
      <c r="B46" s="126">
        <f>'[10]Operating Statement'!G8</f>
        <v>141</v>
      </c>
      <c r="C46" s="124" t="s">
        <v>37</v>
      </c>
    </row>
    <row r="47" spans="1:12" x14ac:dyDescent="0.25">
      <c r="A47" s="124">
        <v>4630</v>
      </c>
      <c r="B47" s="126">
        <f>'[10]Operating Statement'!G7+Events!S15</f>
        <v>15215.94</v>
      </c>
      <c r="C47" s="124" t="s">
        <v>191</v>
      </c>
      <c r="H47" s="127"/>
    </row>
    <row r="48" spans="1:12" x14ac:dyDescent="0.25">
      <c r="A48" s="124">
        <v>4640</v>
      </c>
      <c r="B48" s="125">
        <v>0</v>
      </c>
    </row>
    <row r="49" spans="1:13" x14ac:dyDescent="0.25">
      <c r="A49" s="124">
        <v>4650</v>
      </c>
      <c r="B49" s="126">
        <f>'[10]Operating Statement'!G13</f>
        <v>478.97</v>
      </c>
      <c r="C49" s="124" t="s">
        <v>192</v>
      </c>
    </row>
    <row r="50" spans="1:13" x14ac:dyDescent="0.25">
      <c r="A50" s="124">
        <v>4655</v>
      </c>
      <c r="C50" s="124" t="s">
        <v>192</v>
      </c>
    </row>
    <row r="51" spans="1:13" x14ac:dyDescent="0.25">
      <c r="A51" s="124">
        <v>4700</v>
      </c>
      <c r="B51" s="125">
        <f>SUM(B32,B35:B39,B41,B42,B44:B49)</f>
        <v>188575.80000000002</v>
      </c>
      <c r="E51" s="127">
        <f>'[10]Operating Statement'!G15-'Tax Return'!B51</f>
        <v>49.999999999970896</v>
      </c>
    </row>
    <row r="53" spans="1:13" x14ac:dyDescent="0.25">
      <c r="A53" s="124">
        <v>4800</v>
      </c>
      <c r="B53" s="125">
        <f>'[10]Operating Statement'!G31</f>
        <v>0</v>
      </c>
      <c r="C53" s="124" t="s">
        <v>193</v>
      </c>
      <c r="K53" s="128"/>
      <c r="M53" s="129"/>
    </row>
    <row r="54" spans="1:13" x14ac:dyDescent="0.25">
      <c r="A54" s="124">
        <v>4810</v>
      </c>
      <c r="B54" s="125">
        <v>0</v>
      </c>
      <c r="K54" s="128"/>
      <c r="M54" s="129"/>
    </row>
    <row r="55" spans="1:13" x14ac:dyDescent="0.25">
      <c r="A55" s="124">
        <v>4820</v>
      </c>
      <c r="B55" s="125">
        <f>'[10]Operating Statement'!G22</f>
        <v>42.3</v>
      </c>
      <c r="C55" s="124" t="s">
        <v>89</v>
      </c>
      <c r="K55" s="128"/>
      <c r="M55" s="129"/>
    </row>
    <row r="56" spans="1:13" x14ac:dyDescent="0.25">
      <c r="A56" s="124">
        <v>4830</v>
      </c>
      <c r="B56" s="125">
        <v>0</v>
      </c>
      <c r="C56" s="124" t="s">
        <v>194</v>
      </c>
      <c r="K56" s="128"/>
      <c r="M56" s="129"/>
    </row>
    <row r="57" spans="1:13" x14ac:dyDescent="0.25">
      <c r="A57" s="124">
        <v>4840</v>
      </c>
      <c r="B57" s="125">
        <f>'[10]Operating Statement'!G24+'[10]Operating Statement'!G27+'[10]Operating Statement'!G30+'[10]Operating Statement'!G28</f>
        <v>804.3197345132744</v>
      </c>
      <c r="C57" s="124" t="s">
        <v>195</v>
      </c>
      <c r="K57" s="128"/>
      <c r="M57" s="129"/>
    </row>
    <row r="58" spans="1:13" x14ac:dyDescent="0.25">
      <c r="A58" s="124">
        <v>4850</v>
      </c>
      <c r="B58" s="125">
        <f>'[10]Operating Statement'!G18</f>
        <v>622.29999999999995</v>
      </c>
      <c r="C58" s="124" t="s">
        <v>196</v>
      </c>
      <c r="K58" s="128"/>
      <c r="M58" s="129"/>
    </row>
    <row r="59" spans="1:13" x14ac:dyDescent="0.25">
      <c r="A59" s="124">
        <v>4860</v>
      </c>
      <c r="K59" s="128"/>
      <c r="M59" s="129"/>
    </row>
    <row r="60" spans="1:13" x14ac:dyDescent="0.25">
      <c r="A60" s="124">
        <v>4870</v>
      </c>
      <c r="B60" s="125">
        <v>0</v>
      </c>
      <c r="K60" s="128"/>
      <c r="M60" s="129"/>
    </row>
    <row r="61" spans="1:13" x14ac:dyDescent="0.25">
      <c r="A61" s="124">
        <v>4880</v>
      </c>
      <c r="B61" s="125">
        <v>0</v>
      </c>
      <c r="L61" s="125"/>
    </row>
    <row r="62" spans="1:13" x14ac:dyDescent="0.25">
      <c r="A62" s="124">
        <v>4890</v>
      </c>
      <c r="B62" s="125">
        <v>0</v>
      </c>
      <c r="C62" s="124" t="s">
        <v>197</v>
      </c>
    </row>
    <row r="63" spans="1:13" x14ac:dyDescent="0.25">
      <c r="A63" s="124">
        <v>4891</v>
      </c>
      <c r="B63" s="125">
        <f>'[10]Operating Statement'!G20+'[10]Operating Statement'!G26</f>
        <v>807</v>
      </c>
      <c r="C63" s="124" t="s">
        <v>198</v>
      </c>
      <c r="L63" s="127"/>
    </row>
    <row r="64" spans="1:13" x14ac:dyDescent="0.25">
      <c r="A64" s="124">
        <v>4900</v>
      </c>
      <c r="B64" s="125">
        <v>0</v>
      </c>
    </row>
    <row r="65" spans="1:14" x14ac:dyDescent="0.25">
      <c r="A65" s="124">
        <v>4910</v>
      </c>
      <c r="B65" s="125">
        <v>0</v>
      </c>
    </row>
    <row r="66" spans="1:14" x14ac:dyDescent="0.25">
      <c r="A66" s="124">
        <v>4920</v>
      </c>
      <c r="B66" s="125">
        <f>'[10]Operating Statement'!G33+'[10]Operating Statement'!G32+'[10]Operating Statement'!G29+'[10]Operating Statement'!G23+'[10]Operating Statement'!G21+'[10]Operating Statement'!G19+'[10]Operating Statement'!G34+'[10]Operating Statement'!G35+'[10]Operating Statement'!G36</f>
        <v>4682.1302654867259</v>
      </c>
      <c r="C66" s="124" t="s">
        <v>199</v>
      </c>
    </row>
    <row r="67" spans="1:14" x14ac:dyDescent="0.25">
      <c r="A67" s="124">
        <v>4930</v>
      </c>
      <c r="L67" s="128"/>
      <c r="N67" s="129"/>
    </row>
    <row r="68" spans="1:14" x14ac:dyDescent="0.25">
      <c r="A68" s="124">
        <v>4950</v>
      </c>
      <c r="B68" s="125">
        <f>SUM(B53:B67)</f>
        <v>6958.05</v>
      </c>
      <c r="D68" s="127">
        <f>'[10]Operating Statement'!G38-'Tax Return'!B68-B81</f>
        <v>0</v>
      </c>
      <c r="L68" s="128"/>
      <c r="N68" s="129"/>
    </row>
    <row r="69" spans="1:14" x14ac:dyDescent="0.25">
      <c r="L69" s="128"/>
      <c r="N69" s="129"/>
    </row>
    <row r="70" spans="1:14" x14ac:dyDescent="0.25">
      <c r="L70" s="128"/>
      <c r="N70" s="129"/>
    </row>
    <row r="71" spans="1:14" x14ac:dyDescent="0.25">
      <c r="A71" s="124">
        <v>5000</v>
      </c>
      <c r="B71" s="125">
        <f>'[10]Operating Statement'!G20+'[10]Operating Statement'!G24+'[10]Operating Statement'!G26+'[10]Operating Statement'!G27+'[10]Operating Statement'!G29+'[10]Operating Statement'!G30+'[10]Operating Statement'!G34+'[10]Operating Statement'!G36+'[10]Operating Statement'!P30</f>
        <v>2013.54</v>
      </c>
      <c r="C71" s="124" t="s">
        <v>200</v>
      </c>
    </row>
    <row r="72" spans="1:14" x14ac:dyDescent="0.25">
      <c r="A72" s="124">
        <v>5010</v>
      </c>
      <c r="B72" s="125">
        <f>'[10]Operating Statement'!G18+'[10]Operating Statement'!G19+'[10]Operating Statement'!G21+'[10]Operating Statement'!G22+'[10]Operating Statement'!G28+'[10]Operating Statement'!G35+'[10]Operating Statement'!P27+'[10]Operating Statement'!P28+'[10]Operating Statement'!P29+'[10]Operating Statement'!P31</f>
        <v>3144.28</v>
      </c>
      <c r="C72" s="124" t="s">
        <v>201</v>
      </c>
      <c r="M72" s="125"/>
    </row>
    <row r="73" spans="1:14" x14ac:dyDescent="0.25">
      <c r="A73" s="124">
        <v>5020</v>
      </c>
      <c r="B73" s="125">
        <f>'[10]Operating Statement'!G23+'[10]Operating Statement'!G32</f>
        <v>1800.2299999999998</v>
      </c>
      <c r="C73" s="124" t="s">
        <v>202</v>
      </c>
    </row>
    <row r="74" spans="1:14" x14ac:dyDescent="0.25">
      <c r="A74" s="124">
        <v>5030</v>
      </c>
      <c r="B74" s="125">
        <v>0</v>
      </c>
    </row>
    <row r="75" spans="1:14" x14ac:dyDescent="0.25">
      <c r="A75" s="124">
        <v>5040</v>
      </c>
      <c r="B75" s="125">
        <v>0</v>
      </c>
    </row>
    <row r="76" spans="1:14" x14ac:dyDescent="0.25">
      <c r="A76" s="124">
        <v>5050</v>
      </c>
      <c r="B76" s="125">
        <v>0</v>
      </c>
      <c r="C76" s="124" t="s">
        <v>203</v>
      </c>
    </row>
    <row r="77" spans="1:14" x14ac:dyDescent="0.25">
      <c r="A77" s="124">
        <v>5100</v>
      </c>
      <c r="B77" s="125">
        <f>B68+B76</f>
        <v>6958.05</v>
      </c>
    </row>
    <row r="80" spans="1:14" x14ac:dyDescent="0.25">
      <c r="A80" s="124">
        <v>5500</v>
      </c>
      <c r="B80" s="125">
        <f>'[4]Building Fund Escrow'!$B$22-'[2]Building Fund Escrow'!$B$22</f>
        <v>175000</v>
      </c>
      <c r="C80" s="124" t="s">
        <v>204</v>
      </c>
    </row>
    <row r="81" spans="1:4" x14ac:dyDescent="0.25">
      <c r="A81" s="124">
        <v>5510</v>
      </c>
      <c r="B81" s="125">
        <f>'[10]Operating Statement'!G25</f>
        <v>285347.92</v>
      </c>
      <c r="C81" s="124" t="s">
        <v>205</v>
      </c>
    </row>
    <row r="84" spans="1:4" x14ac:dyDescent="0.25">
      <c r="A84" s="124">
        <v>5750</v>
      </c>
      <c r="B84" s="125">
        <v>0</v>
      </c>
      <c r="C84" s="124" t="s">
        <v>206</v>
      </c>
    </row>
    <row r="87" spans="1:4" x14ac:dyDescent="0.25">
      <c r="A87" s="124">
        <v>5900</v>
      </c>
      <c r="B87" s="125">
        <f>('[11]Position Statement'!$F$24+'[12]Position Statement'!$F$24)/2</f>
        <v>195780.3</v>
      </c>
      <c r="D87" s="124" t="s">
        <v>207</v>
      </c>
    </row>
    <row r="88" spans="1:4" x14ac:dyDescent="0.25">
      <c r="A88" s="124">
        <v>5910</v>
      </c>
      <c r="B88" s="125">
        <f>('[10]Position Statement'!F24+'[11]Position Statement'!$F$24)/2</f>
        <v>79420.755000000005</v>
      </c>
      <c r="D88" s="124" t="s">
        <v>208</v>
      </c>
    </row>
  </sheetData>
  <mergeCells count="1">
    <mergeCell ref="A1:F1"/>
  </mergeCell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T31"/>
  <sheetViews>
    <sheetView zoomScaleNormal="100" workbookViewId="0">
      <selection activeCell="C3" sqref="C3"/>
    </sheetView>
  </sheetViews>
  <sheetFormatPr defaultRowHeight="15" x14ac:dyDescent="0.25"/>
  <cols>
    <col min="1" max="2" width="8.7109375" customWidth="1"/>
    <col min="3" max="3" width="10.140625" customWidth="1"/>
    <col min="4" max="4" width="8.7109375" customWidth="1"/>
    <col min="5" max="5" width="10.140625" customWidth="1"/>
    <col min="6" max="6" width="9.85546875" customWidth="1"/>
    <col min="7" max="7" width="11.5703125" customWidth="1"/>
    <col min="8" max="8" width="10.7109375" customWidth="1"/>
    <col min="9" max="9" width="9.85546875" customWidth="1"/>
    <col min="10" max="10" width="10.28515625" customWidth="1"/>
    <col min="11" max="11" width="9.42578125" customWidth="1"/>
    <col min="12" max="1025" width="8.7109375" customWidth="1"/>
  </cols>
  <sheetData>
    <row r="2" spans="2:20" x14ac:dyDescent="0.25">
      <c r="B2" t="s">
        <v>104</v>
      </c>
      <c r="C2" s="45">
        <v>44711</v>
      </c>
    </row>
    <row r="3" spans="2:20" x14ac:dyDescent="0.25">
      <c r="B3" t="s">
        <v>105</v>
      </c>
      <c r="E3" s="46"/>
      <c r="F3" s="45" t="s">
        <v>106</v>
      </c>
      <c r="G3" s="46"/>
      <c r="H3" s="46"/>
      <c r="J3" s="45"/>
      <c r="K3" s="45"/>
    </row>
    <row r="4" spans="2:20" x14ac:dyDescent="0.25">
      <c r="D4" s="45"/>
      <c r="E4" s="46"/>
      <c r="F4" s="45" t="s">
        <v>35</v>
      </c>
      <c r="G4" s="45">
        <f>'Sheet 5'!B3</f>
        <v>44709</v>
      </c>
      <c r="H4" s="45">
        <f>'Sheet 6'!B3</f>
        <v>44710</v>
      </c>
      <c r="I4" s="45"/>
      <c r="J4" s="45"/>
      <c r="K4" s="45"/>
    </row>
    <row r="5" spans="2:20" x14ac:dyDescent="0.25">
      <c r="D5" s="24"/>
      <c r="E5" s="45"/>
      <c r="F5" s="45"/>
      <c r="J5" s="45"/>
    </row>
    <row r="6" spans="2:20" x14ac:dyDescent="0.25">
      <c r="B6" t="s">
        <v>102</v>
      </c>
      <c r="G6" s="54">
        <f>SUM('Sheet 5:Sheet 6'!F5)+Contributions!J10</f>
        <v>1200</v>
      </c>
    </row>
    <row r="7" spans="2:20" x14ac:dyDescent="0.25">
      <c r="P7" s="48"/>
      <c r="Q7" s="49"/>
      <c r="R7" s="49" t="s">
        <v>120</v>
      </c>
      <c r="S7" s="49"/>
      <c r="T7" s="50"/>
    </row>
    <row r="8" spans="2:20" x14ac:dyDescent="0.25">
      <c r="B8" t="s">
        <v>103</v>
      </c>
      <c r="P8" s="36"/>
      <c r="Q8" s="37"/>
      <c r="R8" s="37"/>
      <c r="S8" s="37"/>
      <c r="T8" s="51"/>
    </row>
    <row r="9" spans="2:20" x14ac:dyDescent="0.25">
      <c r="C9" s="52">
        <f>SUM('Sheet 5:Sheet 6'!B8)-'Sheet 6'!V8</f>
        <v>0</v>
      </c>
      <c r="D9" s="33" t="s">
        <v>109</v>
      </c>
      <c r="E9" s="53">
        <v>100</v>
      </c>
      <c r="F9" s="33" t="s">
        <v>110</v>
      </c>
      <c r="G9" s="54">
        <f t="shared" ref="G9:G20" si="0">C9*E9</f>
        <v>0</v>
      </c>
      <c r="P9" s="52"/>
      <c r="Q9" s="55" t="s">
        <v>109</v>
      </c>
      <c r="R9" s="56">
        <v>100</v>
      </c>
      <c r="S9" s="55"/>
      <c r="T9" s="57">
        <f t="shared" ref="T9:T15" si="1">P9*R9</f>
        <v>0</v>
      </c>
    </row>
    <row r="10" spans="2:20" x14ac:dyDescent="0.25">
      <c r="C10" s="52">
        <f>SUM('Sheet 5:Sheet 6'!B9)-'Sheet 6'!V9</f>
        <v>1</v>
      </c>
      <c r="D10" s="33" t="s">
        <v>109</v>
      </c>
      <c r="E10" s="53">
        <v>50</v>
      </c>
      <c r="F10" s="33" t="s">
        <v>110</v>
      </c>
      <c r="G10" s="54">
        <f t="shared" si="0"/>
        <v>50</v>
      </c>
      <c r="P10" s="52"/>
      <c r="Q10" s="55" t="s">
        <v>109</v>
      </c>
      <c r="R10" s="56">
        <v>50</v>
      </c>
      <c r="S10" s="55" t="s">
        <v>110</v>
      </c>
      <c r="T10" s="57">
        <f t="shared" si="1"/>
        <v>0</v>
      </c>
    </row>
    <row r="11" spans="2:20" x14ac:dyDescent="0.25">
      <c r="C11" s="52">
        <f>SUM('Sheet 5:Sheet 6'!B10)-'Sheet 6'!V10</f>
        <v>22</v>
      </c>
      <c r="D11" s="33" t="s">
        <v>109</v>
      </c>
      <c r="E11" s="53">
        <v>20</v>
      </c>
      <c r="F11" s="33" t="s">
        <v>110</v>
      </c>
      <c r="G11" s="54">
        <f t="shared" si="0"/>
        <v>440</v>
      </c>
      <c r="J11" s="119" t="s">
        <v>111</v>
      </c>
      <c r="K11" s="119"/>
      <c r="L11" s="49"/>
      <c r="M11" s="120" t="s">
        <v>112</v>
      </c>
      <c r="N11" s="120"/>
      <c r="P11" s="52"/>
      <c r="Q11" s="55" t="s">
        <v>109</v>
      </c>
      <c r="R11" s="56">
        <v>20</v>
      </c>
      <c r="S11" s="55" t="s">
        <v>110</v>
      </c>
      <c r="T11" s="57">
        <f t="shared" si="1"/>
        <v>0</v>
      </c>
    </row>
    <row r="12" spans="2:20" x14ac:dyDescent="0.25">
      <c r="C12" s="52">
        <f>SUM('Sheet 5:Sheet 6'!B11)-'Sheet 6'!V11</f>
        <v>8</v>
      </c>
      <c r="D12" s="33" t="s">
        <v>109</v>
      </c>
      <c r="E12" s="53">
        <v>10</v>
      </c>
      <c r="F12" s="33" t="s">
        <v>110</v>
      </c>
      <c r="G12" s="54">
        <f t="shared" si="0"/>
        <v>80</v>
      </c>
      <c r="J12" s="36"/>
      <c r="K12" s="37"/>
      <c r="L12" s="37"/>
      <c r="M12" s="37"/>
      <c r="N12" s="51"/>
      <c r="P12" s="52"/>
      <c r="Q12" s="55" t="s">
        <v>109</v>
      </c>
      <c r="R12" s="56">
        <v>10</v>
      </c>
      <c r="S12" s="55" t="s">
        <v>110</v>
      </c>
      <c r="T12" s="57">
        <f t="shared" si="1"/>
        <v>0</v>
      </c>
    </row>
    <row r="13" spans="2:20" x14ac:dyDescent="0.25">
      <c r="C13" s="52">
        <f>SUM('Sheet 5:Sheet 6'!B12)-'Sheet 6'!V12</f>
        <v>18</v>
      </c>
      <c r="D13" s="33" t="s">
        <v>109</v>
      </c>
      <c r="E13" s="53">
        <v>5</v>
      </c>
      <c r="F13" s="33" t="s">
        <v>110</v>
      </c>
      <c r="G13" s="54">
        <f t="shared" si="0"/>
        <v>90</v>
      </c>
      <c r="J13" s="36"/>
      <c r="K13" s="37"/>
      <c r="L13" s="37"/>
      <c r="M13" s="37"/>
      <c r="N13" s="51"/>
      <c r="P13" s="52"/>
      <c r="Q13" s="55" t="s">
        <v>109</v>
      </c>
      <c r="R13" s="56">
        <v>5</v>
      </c>
      <c r="S13" s="55" t="s">
        <v>110</v>
      </c>
      <c r="T13" s="57">
        <f t="shared" si="1"/>
        <v>0</v>
      </c>
    </row>
    <row r="14" spans="2:20" x14ac:dyDescent="0.25">
      <c r="B14" s="58"/>
      <c r="C14" s="52">
        <f>SUM('Sheet 5:Sheet 6'!B13)-'Sheet 6'!V13</f>
        <v>29</v>
      </c>
      <c r="D14" s="33" t="s">
        <v>109</v>
      </c>
      <c r="E14" s="53">
        <v>2</v>
      </c>
      <c r="F14" s="33" t="s">
        <v>110</v>
      </c>
      <c r="G14" s="54">
        <f t="shared" si="0"/>
        <v>58</v>
      </c>
      <c r="J14" s="36">
        <f>INT((C14+'Deposit Slip'!M14)/25)*25</f>
        <v>25</v>
      </c>
      <c r="K14" s="56">
        <f t="shared" ref="K14:K15" si="2">J14*E14</f>
        <v>50</v>
      </c>
      <c r="L14" s="37"/>
      <c r="M14" s="59">
        <f>C14-J14+'Deposit Slip'!M14</f>
        <v>20</v>
      </c>
      <c r="N14" s="60">
        <f t="shared" ref="N14:N15" si="3">M14*E14</f>
        <v>40</v>
      </c>
      <c r="P14" s="52"/>
      <c r="Q14" s="55" t="s">
        <v>109</v>
      </c>
      <c r="R14" s="56">
        <v>2</v>
      </c>
      <c r="S14" s="55" t="s">
        <v>110</v>
      </c>
      <c r="T14" s="57">
        <f t="shared" si="1"/>
        <v>0</v>
      </c>
    </row>
    <row r="15" spans="2:20" x14ac:dyDescent="0.25">
      <c r="B15" s="58"/>
      <c r="C15" s="52">
        <f>SUM('Sheet 5:Sheet 6'!B14)-'Sheet 6'!V14</f>
        <v>22</v>
      </c>
      <c r="D15" s="33" t="s">
        <v>109</v>
      </c>
      <c r="E15" s="53">
        <v>1</v>
      </c>
      <c r="F15" s="33" t="s">
        <v>110</v>
      </c>
      <c r="G15" s="54">
        <f t="shared" si="0"/>
        <v>22</v>
      </c>
      <c r="J15" s="36">
        <f>INT((C15+'Deposit Slip'!M15)/25)*25</f>
        <v>25</v>
      </c>
      <c r="K15" s="56">
        <f t="shared" si="2"/>
        <v>25</v>
      </c>
      <c r="L15" s="37"/>
      <c r="M15" s="59">
        <f>C15-J15+'Deposit Slip'!M15</f>
        <v>21</v>
      </c>
      <c r="N15" s="60">
        <f t="shared" si="3"/>
        <v>21</v>
      </c>
      <c r="P15" s="52"/>
      <c r="Q15" s="55" t="s">
        <v>109</v>
      </c>
      <c r="R15" s="56">
        <v>1</v>
      </c>
      <c r="S15" s="55" t="s">
        <v>110</v>
      </c>
      <c r="T15" s="57">
        <f t="shared" si="1"/>
        <v>0</v>
      </c>
    </row>
    <row r="16" spans="2:20" x14ac:dyDescent="0.25">
      <c r="B16" s="58"/>
      <c r="C16" s="52">
        <f>SUM('Sheet 5:Sheet 6'!B15)-'Sheet 6'!V15</f>
        <v>0</v>
      </c>
      <c r="D16" s="33" t="s">
        <v>109</v>
      </c>
      <c r="E16" s="9">
        <v>0.5</v>
      </c>
      <c r="F16" s="33" t="s">
        <v>110</v>
      </c>
      <c r="G16" s="61">
        <f>C16*E16</f>
        <v>0</v>
      </c>
      <c r="J16" s="36"/>
      <c r="K16" s="56"/>
      <c r="L16" s="80"/>
      <c r="M16" s="59"/>
      <c r="N16" s="60"/>
      <c r="P16" s="36"/>
      <c r="Q16" s="37"/>
      <c r="R16" s="37"/>
      <c r="S16" s="55" t="s">
        <v>113</v>
      </c>
      <c r="T16" s="62">
        <f>SUM(T9:T15)</f>
        <v>0</v>
      </c>
    </row>
    <row r="17" spans="2:20" x14ac:dyDescent="0.25">
      <c r="B17" s="58"/>
      <c r="C17" s="52">
        <f>SUM('Sheet 5:Sheet 6'!B16)-'Sheet 6'!V16</f>
        <v>41</v>
      </c>
      <c r="D17" s="33" t="s">
        <v>109</v>
      </c>
      <c r="E17" s="9">
        <v>0.25</v>
      </c>
      <c r="F17" s="33" t="s">
        <v>110</v>
      </c>
      <c r="G17" s="61">
        <f t="shared" si="0"/>
        <v>10.25</v>
      </c>
      <c r="J17" s="36">
        <f>INT((C17+'Deposit Slip'!M17)/40)*40</f>
        <v>40</v>
      </c>
      <c r="K17" s="56">
        <f>J17*E17</f>
        <v>10</v>
      </c>
      <c r="L17" s="37"/>
      <c r="M17" s="59">
        <f>C17-J17+'Deposit Slip'!M17</f>
        <v>13</v>
      </c>
      <c r="N17" s="60">
        <f>M17*E17</f>
        <v>3.25</v>
      </c>
      <c r="P17" s="36"/>
      <c r="Q17" s="37"/>
      <c r="R17" s="37"/>
      <c r="S17" s="55" t="s">
        <v>114</v>
      </c>
      <c r="T17" s="51">
        <v>1.2815000000000001</v>
      </c>
    </row>
    <row r="18" spans="2:20" x14ac:dyDescent="0.25">
      <c r="B18" s="58"/>
      <c r="C18" s="52">
        <f>SUM('Sheet 5:Sheet 6'!B17)-'Sheet 6'!V17</f>
        <v>31</v>
      </c>
      <c r="D18" s="33" t="s">
        <v>109</v>
      </c>
      <c r="E18" s="9">
        <v>0.1</v>
      </c>
      <c r="F18" s="33" t="s">
        <v>110</v>
      </c>
      <c r="G18" s="61">
        <f t="shared" si="0"/>
        <v>3.1</v>
      </c>
      <c r="J18" s="36">
        <f>INT((C18+'Deposit Slip'!M18)/50)*50</f>
        <v>50</v>
      </c>
      <c r="K18" s="56">
        <f>J18*E18</f>
        <v>5</v>
      </c>
      <c r="L18" s="37"/>
      <c r="M18" s="59">
        <f>C18-J18+'Deposit Slip'!M18</f>
        <v>17</v>
      </c>
      <c r="N18" s="60">
        <f>M18*E18</f>
        <v>1.7000000000000002</v>
      </c>
      <c r="P18" s="63"/>
      <c r="Q18" s="64"/>
      <c r="R18" s="64"/>
      <c r="S18" s="65" t="s">
        <v>115</v>
      </c>
      <c r="T18" s="66">
        <f>ROUND(T16*T17,2)</f>
        <v>0</v>
      </c>
    </row>
    <row r="19" spans="2:20" x14ac:dyDescent="0.25">
      <c r="B19" s="58"/>
      <c r="C19" s="52">
        <f>SUM('Sheet 5:Sheet 6'!B18)-'Sheet 6'!V18</f>
        <v>30</v>
      </c>
      <c r="D19" s="33" t="s">
        <v>109</v>
      </c>
      <c r="E19" s="9">
        <v>0.05</v>
      </c>
      <c r="F19" s="33" t="s">
        <v>110</v>
      </c>
      <c r="G19" s="61">
        <f t="shared" si="0"/>
        <v>1.5</v>
      </c>
      <c r="J19" s="36">
        <f>INT((C19+'Deposit Slip'!M19)/40)*40</f>
        <v>40</v>
      </c>
      <c r="K19" s="56">
        <f>J19*E19</f>
        <v>2</v>
      </c>
      <c r="L19" s="37"/>
      <c r="M19" s="59">
        <f>C19-J19+'Deposit Slip'!M19</f>
        <v>10</v>
      </c>
      <c r="N19" s="60">
        <f>M19*E19</f>
        <v>0.5</v>
      </c>
    </row>
    <row r="20" spans="2:20" x14ac:dyDescent="0.25">
      <c r="B20" s="58"/>
      <c r="C20" s="52">
        <f>SUM('Sheet 5:Sheet 6'!B19)-'Sheet 6'!V19</f>
        <v>0</v>
      </c>
      <c r="D20" s="33" t="s">
        <v>109</v>
      </c>
      <c r="E20" s="9">
        <v>0.01</v>
      </c>
      <c r="G20" s="61">
        <f t="shared" si="0"/>
        <v>0</v>
      </c>
      <c r="J20" s="36">
        <f>INT((C20+'Deposit Slip'!M20)/10)*10</f>
        <v>0</v>
      </c>
      <c r="K20" s="69">
        <f>J20*E20</f>
        <v>0</v>
      </c>
      <c r="L20" s="37"/>
      <c r="M20" s="59">
        <f>C20-J20+'Deposit Slip'!M20</f>
        <v>3</v>
      </c>
      <c r="N20" s="68">
        <f>M20*E20</f>
        <v>0.03</v>
      </c>
    </row>
    <row r="21" spans="2:20" x14ac:dyDescent="0.25">
      <c r="E21" t="s">
        <v>116</v>
      </c>
      <c r="G21" s="67">
        <f>SUM(G9:G15)</f>
        <v>740</v>
      </c>
      <c r="J21" s="63"/>
      <c r="K21" s="61">
        <f>SUM(K14:K20)</f>
        <v>92</v>
      </c>
      <c r="L21" s="64"/>
      <c r="M21" s="64"/>
      <c r="N21" s="66">
        <f>SUM(N14:N20)</f>
        <v>66.48</v>
      </c>
    </row>
    <row r="22" spans="2:20" x14ac:dyDescent="0.25">
      <c r="E22" t="s">
        <v>117</v>
      </c>
      <c r="G22" s="69">
        <f>SUM(G16:G20)</f>
        <v>14.85</v>
      </c>
    </row>
    <row r="23" spans="2:20" x14ac:dyDescent="0.25">
      <c r="E23" t="s">
        <v>121</v>
      </c>
      <c r="G23" s="69">
        <f>SUM(G21:G22)+T18+G6</f>
        <v>1954.85</v>
      </c>
      <c r="J23" t="s">
        <v>145</v>
      </c>
      <c r="K23" s="9">
        <f>SUM(K17:K20)</f>
        <v>17</v>
      </c>
    </row>
    <row r="24" spans="2:20" x14ac:dyDescent="0.25">
      <c r="E24" t="s">
        <v>118</v>
      </c>
      <c r="G24" s="70">
        <f>G6+K21+SUM(G9:G13)+G16</f>
        <v>1952</v>
      </c>
    </row>
    <row r="26" spans="2:20" x14ac:dyDescent="0.25">
      <c r="B26" t="s">
        <v>37</v>
      </c>
    </row>
    <row r="28" spans="2:20" x14ac:dyDescent="0.25">
      <c r="C28" s="52">
        <f>SUM('Sheet 5:Sheet 6'!B27)</f>
        <v>26</v>
      </c>
      <c r="D28" s="33" t="s">
        <v>109</v>
      </c>
      <c r="E28" s="53">
        <v>5</v>
      </c>
      <c r="F28" s="33" t="s">
        <v>110</v>
      </c>
      <c r="G28" s="54">
        <f>C28*E28</f>
        <v>130</v>
      </c>
      <c r="H28" t="s">
        <v>119</v>
      </c>
    </row>
    <row r="31" spans="2:20" x14ac:dyDescent="0.25">
      <c r="B31" t="s">
        <v>38</v>
      </c>
      <c r="G31" s="104">
        <f>SUM('Sheet 5:Sheet 6'!F30)</f>
        <v>10</v>
      </c>
      <c r="H31" t="s">
        <v>119</v>
      </c>
    </row>
  </sheetData>
  <mergeCells count="2">
    <mergeCell ref="J11:K11"/>
    <mergeCell ref="M11:N1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T31"/>
  <sheetViews>
    <sheetView zoomScaleNormal="100" workbookViewId="0">
      <selection activeCell="P9" sqref="P9"/>
    </sheetView>
  </sheetViews>
  <sheetFormatPr defaultRowHeight="15" x14ac:dyDescent="0.25"/>
  <cols>
    <col min="1" max="2" width="8.7109375" customWidth="1"/>
    <col min="3" max="3" width="9.85546875" customWidth="1"/>
    <col min="4" max="4" width="8.7109375" customWidth="1"/>
    <col min="5" max="5" width="10.42578125" customWidth="1"/>
    <col min="6" max="6" width="10.5703125" customWidth="1"/>
    <col min="7" max="7" width="10.85546875" customWidth="1"/>
    <col min="8" max="8" width="8.7109375" customWidth="1"/>
    <col min="9" max="9" width="9.85546875" customWidth="1"/>
    <col min="10" max="1025" width="8.7109375" customWidth="1"/>
  </cols>
  <sheetData>
    <row r="2" spans="2:20" x14ac:dyDescent="0.25">
      <c r="B2" t="s">
        <v>104</v>
      </c>
      <c r="C2" s="45">
        <v>44498</v>
      </c>
    </row>
    <row r="3" spans="2:20" x14ac:dyDescent="0.25">
      <c r="B3" t="s">
        <v>105</v>
      </c>
      <c r="E3" s="46"/>
      <c r="F3" s="46"/>
      <c r="G3" s="46"/>
      <c r="I3" s="45"/>
    </row>
    <row r="4" spans="2:20" x14ac:dyDescent="0.25">
      <c r="D4" t="s">
        <v>35</v>
      </c>
      <c r="E4" s="45"/>
      <c r="F4" s="46"/>
      <c r="G4" s="46"/>
      <c r="H4" s="46"/>
    </row>
    <row r="5" spans="2:20" x14ac:dyDescent="0.25">
      <c r="D5" t="s">
        <v>106</v>
      </c>
      <c r="E5" s="45"/>
      <c r="F5" s="45" t="e">
        <f>#REF!</f>
        <v>#REF!</v>
      </c>
    </row>
    <row r="6" spans="2:20" x14ac:dyDescent="0.25">
      <c r="B6" t="s">
        <v>102</v>
      </c>
      <c r="G6" s="56">
        <f>SUM('Sheet 8:Sheet 10'!F5)</f>
        <v>0</v>
      </c>
    </row>
    <row r="7" spans="2:20" x14ac:dyDescent="0.25">
      <c r="P7" s="48"/>
      <c r="Q7" s="49"/>
      <c r="R7" s="49" t="s">
        <v>108</v>
      </c>
      <c r="S7" s="49"/>
      <c r="T7" s="50"/>
    </row>
    <row r="8" spans="2:20" x14ac:dyDescent="0.25">
      <c r="B8" t="s">
        <v>103</v>
      </c>
      <c r="P8" s="36"/>
      <c r="Q8" s="37"/>
      <c r="R8" s="37"/>
      <c r="S8" s="37"/>
      <c r="T8" s="51"/>
    </row>
    <row r="9" spans="2:20" ht="15.75" thickBot="1" x14ac:dyDescent="0.3">
      <c r="C9" s="71">
        <f>SUM('Sheet 7:Sheet 8'!B8)-'Sheet 7'!V8</f>
        <v>0</v>
      </c>
      <c r="D9" s="33" t="s">
        <v>109</v>
      </c>
      <c r="E9" s="53">
        <v>100</v>
      </c>
      <c r="F9" s="33" t="s">
        <v>110</v>
      </c>
      <c r="G9" s="54">
        <f t="shared" ref="G9:G20" si="0">C9*E9</f>
        <v>0</v>
      </c>
      <c r="O9" s="51"/>
      <c r="P9" s="71">
        <f>SUM('Sheet 6:Sheet 7'!I8)</f>
        <v>0</v>
      </c>
      <c r="Q9" s="55" t="s">
        <v>109</v>
      </c>
      <c r="R9" s="56">
        <v>100</v>
      </c>
      <c r="S9" s="55"/>
      <c r="T9" s="57">
        <f t="shared" ref="T9:T15" si="1">P9*R9</f>
        <v>0</v>
      </c>
    </row>
    <row r="10" spans="2:20" ht="15.75" thickBot="1" x14ac:dyDescent="0.3">
      <c r="C10" s="71">
        <f>SUM('Sheet 7:Sheet 8'!B9)-'Sheet 7'!V9</f>
        <v>0</v>
      </c>
      <c r="D10" s="33" t="s">
        <v>109</v>
      </c>
      <c r="E10" s="53">
        <v>50</v>
      </c>
      <c r="F10" s="33" t="s">
        <v>110</v>
      </c>
      <c r="G10" s="54">
        <f t="shared" si="0"/>
        <v>0</v>
      </c>
      <c r="O10" s="51"/>
      <c r="P10" s="71">
        <f>SUM('Sheet 6:Sheet 7'!I9)</f>
        <v>0</v>
      </c>
      <c r="Q10" s="55" t="s">
        <v>109</v>
      </c>
      <c r="R10" s="56">
        <v>50</v>
      </c>
      <c r="S10" s="55" t="s">
        <v>110</v>
      </c>
      <c r="T10" s="57">
        <f t="shared" si="1"/>
        <v>0</v>
      </c>
    </row>
    <row r="11" spans="2:20" x14ac:dyDescent="0.25">
      <c r="C11" s="71">
        <f>SUM('Sheet 7:Sheet 8'!B10)-'Sheet 7'!V10</f>
        <v>0</v>
      </c>
      <c r="D11" s="33" t="s">
        <v>109</v>
      </c>
      <c r="E11" s="53">
        <v>20</v>
      </c>
      <c r="F11" s="33" t="s">
        <v>110</v>
      </c>
      <c r="G11" s="54">
        <f t="shared" si="0"/>
        <v>0</v>
      </c>
      <c r="J11" s="119" t="s">
        <v>111</v>
      </c>
      <c r="K11" s="119"/>
      <c r="L11" s="49"/>
      <c r="M11" s="120" t="s">
        <v>112</v>
      </c>
      <c r="N11" s="120"/>
      <c r="O11" s="51"/>
      <c r="P11" s="71">
        <f>SUM('Sheet 6:Sheet 7'!I10)</f>
        <v>0</v>
      </c>
      <c r="Q11" s="55" t="s">
        <v>109</v>
      </c>
      <c r="R11" s="56">
        <v>20</v>
      </c>
      <c r="S11" s="55" t="s">
        <v>110</v>
      </c>
      <c r="T11" s="57">
        <f t="shared" si="1"/>
        <v>0</v>
      </c>
    </row>
    <row r="12" spans="2:20" x14ac:dyDescent="0.25">
      <c r="C12" s="71">
        <f>SUM('Sheet 7:Sheet 8'!B11)-'Sheet 7'!V11</f>
        <v>0</v>
      </c>
      <c r="D12" s="33" t="s">
        <v>109</v>
      </c>
      <c r="E12" s="53">
        <v>10</v>
      </c>
      <c r="F12" s="33" t="s">
        <v>110</v>
      </c>
      <c r="G12" s="54">
        <f t="shared" si="0"/>
        <v>0</v>
      </c>
      <c r="J12" s="36"/>
      <c r="K12" s="37"/>
      <c r="L12" s="37"/>
      <c r="M12" s="37"/>
      <c r="N12" s="51"/>
      <c r="O12" s="51"/>
      <c r="P12" s="71">
        <f>SUM('Sheet 6:Sheet 7'!I11)</f>
        <v>0</v>
      </c>
      <c r="Q12" s="55" t="s">
        <v>109</v>
      </c>
      <c r="R12" s="56">
        <v>10</v>
      </c>
      <c r="S12" s="55" t="s">
        <v>110</v>
      </c>
      <c r="T12" s="57">
        <f t="shared" si="1"/>
        <v>0</v>
      </c>
    </row>
    <row r="13" spans="2:20" x14ac:dyDescent="0.25">
      <c r="C13" s="71">
        <f>SUM('Sheet 7:Sheet 8'!B12)-'Sheet 7'!V12</f>
        <v>0</v>
      </c>
      <c r="D13" s="33" t="s">
        <v>109</v>
      </c>
      <c r="E13" s="53">
        <v>5</v>
      </c>
      <c r="F13" s="33" t="s">
        <v>110</v>
      </c>
      <c r="G13" s="54">
        <f t="shared" si="0"/>
        <v>0</v>
      </c>
      <c r="J13" s="36"/>
      <c r="K13" s="37"/>
      <c r="L13" s="37"/>
      <c r="M13" s="37"/>
      <c r="N13" s="51"/>
      <c r="O13" s="51"/>
      <c r="P13" s="71">
        <f>SUM('Sheet 6:Sheet 7'!I12)</f>
        <v>0</v>
      </c>
      <c r="Q13" s="55" t="s">
        <v>109</v>
      </c>
      <c r="R13" s="56">
        <v>5</v>
      </c>
      <c r="S13" s="55" t="s">
        <v>110</v>
      </c>
      <c r="T13" s="57">
        <f t="shared" si="1"/>
        <v>0</v>
      </c>
    </row>
    <row r="14" spans="2:20" x14ac:dyDescent="0.25">
      <c r="B14" s="58"/>
      <c r="C14" s="71">
        <f>SUM('Sheet 7:Sheet 8'!B13)-'Sheet 7'!V13</f>
        <v>0</v>
      </c>
      <c r="D14" s="33" t="s">
        <v>109</v>
      </c>
      <c r="E14" s="53">
        <v>2</v>
      </c>
      <c r="F14" s="33" t="s">
        <v>110</v>
      </c>
      <c r="G14" s="54">
        <f t="shared" si="0"/>
        <v>0</v>
      </c>
      <c r="J14" s="36">
        <f>INT((C14+'Deposit Slip (2)'!M14)/25)*25</f>
        <v>0</v>
      </c>
      <c r="K14" s="56">
        <f t="shared" ref="K14:K15" si="2">J14*E14</f>
        <v>0</v>
      </c>
      <c r="L14" s="37"/>
      <c r="M14" s="59">
        <f>C14-J14+'Deposit Slip (2)'!M14</f>
        <v>20</v>
      </c>
      <c r="N14" s="60">
        <f t="shared" ref="N14:N15" si="3">M14*E14</f>
        <v>40</v>
      </c>
      <c r="O14" s="51"/>
      <c r="P14" s="71">
        <f>SUM('Sheet 6:Sheet 7'!I13)</f>
        <v>0</v>
      </c>
      <c r="Q14" s="55" t="s">
        <v>109</v>
      </c>
      <c r="R14" s="56">
        <v>2</v>
      </c>
      <c r="S14" s="55" t="s">
        <v>110</v>
      </c>
      <c r="T14" s="57">
        <f t="shared" si="1"/>
        <v>0</v>
      </c>
    </row>
    <row r="15" spans="2:20" x14ac:dyDescent="0.25">
      <c r="B15" s="58"/>
      <c r="C15" s="71">
        <f>SUM('Sheet 7:Sheet 8'!B14)-'Sheet 7'!V14</f>
        <v>0</v>
      </c>
      <c r="D15" s="33" t="s">
        <v>109</v>
      </c>
      <c r="E15" s="53">
        <v>1</v>
      </c>
      <c r="F15" s="33" t="s">
        <v>110</v>
      </c>
      <c r="G15" s="54">
        <f t="shared" si="0"/>
        <v>0</v>
      </c>
      <c r="J15" s="36">
        <f>INT((C15+'Deposit Slip (2)'!M15)/25)*25</f>
        <v>0</v>
      </c>
      <c r="K15" s="56">
        <f t="shared" si="2"/>
        <v>0</v>
      </c>
      <c r="L15" s="37"/>
      <c r="M15" s="59">
        <f>C15-J15+'Deposit Slip (2)'!M15</f>
        <v>21</v>
      </c>
      <c r="N15" s="60">
        <f t="shared" si="3"/>
        <v>21</v>
      </c>
      <c r="O15" s="51"/>
      <c r="P15" s="71">
        <f>SUM('Sheet 6:Sheet 7'!I14)</f>
        <v>0</v>
      </c>
      <c r="Q15" s="55" t="s">
        <v>109</v>
      </c>
      <c r="R15" s="56">
        <v>1</v>
      </c>
      <c r="S15" s="55" t="s">
        <v>110</v>
      </c>
      <c r="T15" s="57">
        <f t="shared" si="1"/>
        <v>0</v>
      </c>
    </row>
    <row r="16" spans="2:20" x14ac:dyDescent="0.25">
      <c r="B16" s="58"/>
      <c r="C16" s="71">
        <f>SUM('Sheet 7:Sheet 8'!B15)-'Sheet 7'!V15</f>
        <v>0</v>
      </c>
      <c r="D16" s="33" t="s">
        <v>109</v>
      </c>
      <c r="E16" s="9">
        <v>0.5</v>
      </c>
      <c r="F16" s="33" t="s">
        <v>110</v>
      </c>
      <c r="G16" s="61">
        <f t="shared" si="0"/>
        <v>0</v>
      </c>
      <c r="J16" s="36"/>
      <c r="K16" s="56"/>
      <c r="L16" s="80"/>
      <c r="M16" s="59"/>
      <c r="N16" s="60"/>
      <c r="P16" s="36"/>
      <c r="Q16" s="37"/>
      <c r="R16" s="37"/>
      <c r="S16" s="55" t="s">
        <v>113</v>
      </c>
      <c r="T16" s="62">
        <f>SUM(T7:T15)</f>
        <v>0</v>
      </c>
    </row>
    <row r="17" spans="2:20" x14ac:dyDescent="0.25">
      <c r="B17" s="58"/>
      <c r="C17" s="71">
        <f>SUM('Sheet 7:Sheet 8'!B16)-'Sheet 7'!V16</f>
        <v>0</v>
      </c>
      <c r="D17" s="33" t="s">
        <v>109</v>
      </c>
      <c r="E17" s="9">
        <v>0.25</v>
      </c>
      <c r="F17" s="33" t="s">
        <v>110</v>
      </c>
      <c r="G17" s="61">
        <f t="shared" si="0"/>
        <v>0</v>
      </c>
      <c r="J17" s="36">
        <f>INT((C17+'Deposit Slip (2)'!M17)/40)*40</f>
        <v>0</v>
      </c>
      <c r="K17" s="56">
        <f>J17*E17</f>
        <v>0</v>
      </c>
      <c r="L17" s="37"/>
      <c r="M17" s="59">
        <f>C17-J17+'Deposit Slip (2)'!M17</f>
        <v>13</v>
      </c>
      <c r="N17" s="60">
        <f>M17*E17</f>
        <v>3.25</v>
      </c>
      <c r="P17" s="36"/>
      <c r="Q17" s="37"/>
      <c r="R17" s="37"/>
      <c r="S17" s="55" t="s">
        <v>114</v>
      </c>
      <c r="T17" s="51">
        <f>191.48/150</f>
        <v>1.2765333333333333</v>
      </c>
    </row>
    <row r="18" spans="2:20" x14ac:dyDescent="0.25">
      <c r="B18" s="58"/>
      <c r="C18" s="71">
        <f>SUM('Sheet 7:Sheet 8'!B17)-'Sheet 7'!V17</f>
        <v>0</v>
      </c>
      <c r="D18" s="33" t="s">
        <v>109</v>
      </c>
      <c r="E18" s="9">
        <v>0.1</v>
      </c>
      <c r="F18" s="33" t="s">
        <v>110</v>
      </c>
      <c r="G18" s="61">
        <f t="shared" si="0"/>
        <v>0</v>
      </c>
      <c r="J18" s="36">
        <f>INT((C18+'Deposit Slip (2)'!M18)/50)*50</f>
        <v>0</v>
      </c>
      <c r="K18" s="56">
        <f>J18*E18</f>
        <v>0</v>
      </c>
      <c r="L18" s="37"/>
      <c r="M18" s="59">
        <f>C18-J18+'Deposit Slip (2)'!M18</f>
        <v>17</v>
      </c>
      <c r="N18" s="60">
        <f>M18*E18</f>
        <v>1.7000000000000002</v>
      </c>
      <c r="P18" s="63"/>
      <c r="Q18" s="64"/>
      <c r="R18" s="64"/>
      <c r="S18" s="65" t="s">
        <v>115</v>
      </c>
      <c r="T18" s="66">
        <f>ROUND(T16*T17,2)</f>
        <v>0</v>
      </c>
    </row>
    <row r="19" spans="2:20" x14ac:dyDescent="0.25">
      <c r="B19" s="58"/>
      <c r="C19" s="71">
        <f>SUM('Sheet 7:Sheet 8'!B18)-'Sheet 7'!V18</f>
        <v>0</v>
      </c>
      <c r="D19" s="33" t="s">
        <v>109</v>
      </c>
      <c r="E19" s="9">
        <v>0.05</v>
      </c>
      <c r="F19" s="33" t="s">
        <v>110</v>
      </c>
      <c r="G19" s="61">
        <f t="shared" si="0"/>
        <v>0</v>
      </c>
      <c r="J19" s="36">
        <f>INT((C19+'Deposit Slip (2)'!M19)/40)*40</f>
        <v>0</v>
      </c>
      <c r="K19" s="56">
        <f>J19*E19</f>
        <v>0</v>
      </c>
      <c r="L19" s="37"/>
      <c r="M19" s="59">
        <f>C19-J19+'Deposit Slip (2)'!M19</f>
        <v>10</v>
      </c>
      <c r="N19" s="60">
        <f>M19*E19</f>
        <v>0.5</v>
      </c>
    </row>
    <row r="20" spans="2:20" x14ac:dyDescent="0.25">
      <c r="B20" s="58"/>
      <c r="C20" s="71">
        <f>SUM('Sheet 7:Sheet 8'!B19)-'Sheet 7'!V19</f>
        <v>0</v>
      </c>
      <c r="D20" s="33" t="s">
        <v>109</v>
      </c>
      <c r="E20" s="9">
        <v>0.01</v>
      </c>
      <c r="G20" s="61">
        <f t="shared" si="0"/>
        <v>0</v>
      </c>
      <c r="J20" s="36">
        <f>INT((C20+'Deposit Slip (2)'!M20)/10)*10</f>
        <v>0</v>
      </c>
      <c r="K20" s="67">
        <f>J20*E20</f>
        <v>0</v>
      </c>
      <c r="L20" s="37"/>
      <c r="M20" s="59">
        <f>C20-J20+'Deposit Slip (2)'!M20</f>
        <v>3</v>
      </c>
      <c r="N20" s="68">
        <f>M20*E20</f>
        <v>0.03</v>
      </c>
    </row>
    <row r="21" spans="2:20" x14ac:dyDescent="0.25">
      <c r="E21" t="s">
        <v>116</v>
      </c>
      <c r="G21" s="67">
        <f>SUM(G9:G15)</f>
        <v>0</v>
      </c>
      <c r="J21" s="63"/>
      <c r="K21" s="61">
        <f>SUM(K14:K20)</f>
        <v>0</v>
      </c>
      <c r="L21" s="64"/>
      <c r="M21" s="64"/>
      <c r="N21" s="66">
        <f>SUM(N14:N20)</f>
        <v>66.48</v>
      </c>
    </row>
    <row r="22" spans="2:20" x14ac:dyDescent="0.25">
      <c r="E22" t="s">
        <v>117</v>
      </c>
      <c r="G22" s="69">
        <f>SUM(G17:G20)</f>
        <v>0</v>
      </c>
    </row>
    <row r="23" spans="2:20" x14ac:dyDescent="0.25">
      <c r="E23" t="s">
        <v>121</v>
      </c>
      <c r="G23" s="69">
        <f>SUM(G21:G22)+T18+G6</f>
        <v>0</v>
      </c>
      <c r="J23" t="s">
        <v>145</v>
      </c>
      <c r="K23" s="9">
        <f>SUM(K17:K20)</f>
        <v>0</v>
      </c>
    </row>
    <row r="24" spans="2:20" x14ac:dyDescent="0.25">
      <c r="E24" t="s">
        <v>118</v>
      </c>
      <c r="G24" s="70">
        <f>G6+K21+SUM(G9:G13)</f>
        <v>0</v>
      </c>
    </row>
    <row r="26" spans="2:20" x14ac:dyDescent="0.25">
      <c r="B26" t="s">
        <v>37</v>
      </c>
    </row>
    <row r="28" spans="2:20" x14ac:dyDescent="0.25">
      <c r="C28" s="71"/>
      <c r="D28" s="33" t="s">
        <v>109</v>
      </c>
      <c r="E28" s="53">
        <v>5</v>
      </c>
      <c r="F28" s="33" t="s">
        <v>110</v>
      </c>
      <c r="G28" s="54">
        <f>C28*E28</f>
        <v>0</v>
      </c>
      <c r="H28" t="s">
        <v>119</v>
      </c>
    </row>
    <row r="31" spans="2:20" x14ac:dyDescent="0.25">
      <c r="B31" t="s">
        <v>38</v>
      </c>
      <c r="G31" s="54">
        <f>SUM('Sheet 8:Sheet 10'!F30)</f>
        <v>0</v>
      </c>
      <c r="H31" t="s">
        <v>119</v>
      </c>
    </row>
  </sheetData>
  <mergeCells count="2">
    <mergeCell ref="J11:K11"/>
    <mergeCell ref="M11:N1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T31"/>
  <sheetViews>
    <sheetView topLeftCell="A6" zoomScaleNormal="100" workbookViewId="0">
      <selection activeCell="G32" sqref="G32"/>
    </sheetView>
  </sheetViews>
  <sheetFormatPr defaultRowHeight="15" x14ac:dyDescent="0.25"/>
  <cols>
    <col min="1" max="2" width="8.7109375" customWidth="1"/>
    <col min="3" max="3" width="9.85546875" customWidth="1"/>
    <col min="4" max="5" width="8.7109375" customWidth="1"/>
    <col min="6" max="6" width="9.7109375" customWidth="1"/>
    <col min="7" max="7" width="11.5703125" customWidth="1"/>
    <col min="8" max="8" width="9.42578125" customWidth="1"/>
    <col min="9" max="9" width="9.7109375" customWidth="1"/>
    <col min="10" max="1025" width="8.7109375" customWidth="1"/>
  </cols>
  <sheetData>
    <row r="2" spans="2:20" x14ac:dyDescent="0.25">
      <c r="B2" t="s">
        <v>104</v>
      </c>
      <c r="C2" s="45">
        <v>44466</v>
      </c>
    </row>
    <row r="3" spans="2:20" x14ac:dyDescent="0.25">
      <c r="B3" t="s">
        <v>105</v>
      </c>
      <c r="D3" t="s">
        <v>35</v>
      </c>
      <c r="E3" s="46">
        <f>'Sheet 9'!B3</f>
        <v>44464</v>
      </c>
      <c r="F3" s="46">
        <f>'Sheet 10'!B3</f>
        <v>44465</v>
      </c>
      <c r="G3" s="46"/>
      <c r="H3" s="46"/>
    </row>
    <row r="4" spans="2:20" x14ac:dyDescent="0.25">
      <c r="D4" t="s">
        <v>106</v>
      </c>
      <c r="E4" s="46"/>
      <c r="F4" s="45"/>
      <c r="H4" s="45"/>
      <c r="I4" s="45"/>
    </row>
    <row r="5" spans="2:20" x14ac:dyDescent="0.25">
      <c r="F5" s="45"/>
      <c r="J5" s="45"/>
    </row>
    <row r="6" spans="2:20" x14ac:dyDescent="0.25">
      <c r="B6" t="s">
        <v>102</v>
      </c>
      <c r="G6" s="73"/>
    </row>
    <row r="7" spans="2:20" x14ac:dyDescent="0.25">
      <c r="P7" s="48"/>
      <c r="Q7" s="49"/>
      <c r="R7" s="49" t="s">
        <v>108</v>
      </c>
      <c r="S7" s="49"/>
      <c r="T7" s="50"/>
    </row>
    <row r="8" spans="2:20" x14ac:dyDescent="0.25">
      <c r="B8" t="s">
        <v>103</v>
      </c>
      <c r="P8" s="36"/>
      <c r="Q8" s="37"/>
      <c r="R8" s="37"/>
      <c r="S8" s="37"/>
      <c r="T8" s="51"/>
    </row>
    <row r="9" spans="2:20" x14ac:dyDescent="0.25">
      <c r="C9" s="72">
        <f>SUM('Sheet 9:Sheet 10'!B8)</f>
        <v>0</v>
      </c>
      <c r="D9" s="33" t="s">
        <v>109</v>
      </c>
      <c r="E9" s="53">
        <v>100</v>
      </c>
      <c r="F9" s="33" t="s">
        <v>110</v>
      </c>
      <c r="G9" s="54">
        <f t="shared" ref="G9:G20" si="0">C9*E9</f>
        <v>0</v>
      </c>
      <c r="P9" s="64">
        <f>SUM('Sheet 11:Sheet 13'!O8)+SUM('Concert Tally Sheets - 4'!O8)</f>
        <v>0</v>
      </c>
      <c r="Q9" s="55" t="s">
        <v>109</v>
      </c>
      <c r="R9" s="56">
        <v>100</v>
      </c>
      <c r="S9" s="55"/>
      <c r="T9" s="57">
        <f t="shared" ref="T9:T15" si="1">P9*R9</f>
        <v>0</v>
      </c>
    </row>
    <row r="10" spans="2:20" x14ac:dyDescent="0.25">
      <c r="C10" s="72">
        <f>SUM('Sheet 9:Sheet 10'!B9)</f>
        <v>0</v>
      </c>
      <c r="D10" s="33" t="s">
        <v>109</v>
      </c>
      <c r="E10" s="53">
        <v>50</v>
      </c>
      <c r="F10" s="33" t="s">
        <v>110</v>
      </c>
      <c r="G10" s="54">
        <f t="shared" si="0"/>
        <v>0</v>
      </c>
      <c r="P10" s="64">
        <f>SUM('Sheet 11:Sheet 13'!O9)+SUM('Concert Tally Sheets - 4'!O9)</f>
        <v>0</v>
      </c>
      <c r="Q10" s="55" t="s">
        <v>109</v>
      </c>
      <c r="R10" s="56">
        <v>50</v>
      </c>
      <c r="S10" s="55" t="s">
        <v>110</v>
      </c>
      <c r="T10" s="57">
        <f t="shared" si="1"/>
        <v>0</v>
      </c>
    </row>
    <row r="11" spans="2:20" x14ac:dyDescent="0.25">
      <c r="C11" s="72">
        <f>SUM('Sheet 9:Sheet 10'!B10)</f>
        <v>0</v>
      </c>
      <c r="D11" s="33" t="s">
        <v>109</v>
      </c>
      <c r="E11" s="53">
        <v>20</v>
      </c>
      <c r="F11" s="33" t="s">
        <v>110</v>
      </c>
      <c r="G11" s="54">
        <f t="shared" si="0"/>
        <v>0</v>
      </c>
      <c r="J11" s="119" t="s">
        <v>111</v>
      </c>
      <c r="K11" s="119"/>
      <c r="L11" s="49"/>
      <c r="M11" s="120" t="s">
        <v>112</v>
      </c>
      <c r="N11" s="120"/>
      <c r="P11" s="64">
        <f>SUM('Sheet 11:Sheet 13'!O10)+SUM('Concert Tally Sheets - 4'!O10)</f>
        <v>0</v>
      </c>
      <c r="Q11" s="55" t="s">
        <v>109</v>
      </c>
      <c r="R11" s="56">
        <v>20</v>
      </c>
      <c r="S11" s="55" t="s">
        <v>110</v>
      </c>
      <c r="T11" s="57">
        <f t="shared" si="1"/>
        <v>0</v>
      </c>
    </row>
    <row r="12" spans="2:20" x14ac:dyDescent="0.25">
      <c r="C12" s="72">
        <f>SUM('Sheet 9:Sheet 10'!B11)</f>
        <v>0</v>
      </c>
      <c r="D12" s="33" t="s">
        <v>109</v>
      </c>
      <c r="E12" s="53">
        <v>10</v>
      </c>
      <c r="F12" s="33" t="s">
        <v>110</v>
      </c>
      <c r="G12" s="54">
        <f t="shared" si="0"/>
        <v>0</v>
      </c>
      <c r="J12" s="36"/>
      <c r="K12" s="37"/>
      <c r="L12" s="37"/>
      <c r="M12" s="37"/>
      <c r="N12" s="51"/>
      <c r="P12" s="64">
        <f>SUM('Sheet 11:Sheet 13'!O11)+SUM('Concert Tally Sheets - 4'!O11)</f>
        <v>0</v>
      </c>
      <c r="Q12" s="55" t="s">
        <v>109</v>
      </c>
      <c r="R12" s="56">
        <v>10</v>
      </c>
      <c r="S12" s="55" t="s">
        <v>110</v>
      </c>
      <c r="T12" s="57">
        <f t="shared" si="1"/>
        <v>0</v>
      </c>
    </row>
    <row r="13" spans="2:20" x14ac:dyDescent="0.25">
      <c r="C13" s="72">
        <f>SUM('Sheet 9:Sheet 10'!B12)</f>
        <v>0</v>
      </c>
      <c r="D13" s="33" t="s">
        <v>109</v>
      </c>
      <c r="E13" s="53">
        <v>5</v>
      </c>
      <c r="F13" s="33" t="s">
        <v>110</v>
      </c>
      <c r="G13" s="54">
        <f t="shared" si="0"/>
        <v>0</v>
      </c>
      <c r="J13" s="36"/>
      <c r="K13" s="37"/>
      <c r="L13" s="37"/>
      <c r="M13" s="37"/>
      <c r="N13" s="51"/>
      <c r="P13" s="64">
        <f>SUM('Sheet 11:Sheet 13'!O12)+SUM('Concert Tally Sheets - 4'!O12)</f>
        <v>0</v>
      </c>
      <c r="Q13" s="55" t="s">
        <v>109</v>
      </c>
      <c r="R13" s="56">
        <v>5</v>
      </c>
      <c r="S13" s="55" t="s">
        <v>110</v>
      </c>
      <c r="T13" s="57">
        <f t="shared" si="1"/>
        <v>0</v>
      </c>
    </row>
    <row r="14" spans="2:20" x14ac:dyDescent="0.25">
      <c r="B14" s="58"/>
      <c r="C14" s="72">
        <f>SUM('Sheet 9:Sheet 10'!B13)</f>
        <v>0</v>
      </c>
      <c r="D14" s="33" t="s">
        <v>109</v>
      </c>
      <c r="E14" s="53">
        <v>2</v>
      </c>
      <c r="F14" s="33" t="s">
        <v>110</v>
      </c>
      <c r="G14" s="54">
        <f t="shared" si="0"/>
        <v>0</v>
      </c>
      <c r="J14" s="36">
        <f>INT((C14+'Deposit Slip (3)'!M14)/25)*25</f>
        <v>0</v>
      </c>
      <c r="K14" s="56">
        <f t="shared" ref="K14:K15" si="2">J14*E14</f>
        <v>0</v>
      </c>
      <c r="L14" s="37"/>
      <c r="M14" s="59">
        <f>C14-J14+'Deposit Slip (3)'!M14</f>
        <v>20</v>
      </c>
      <c r="N14" s="60">
        <f t="shared" ref="N14:N15" si="3">M14*E14</f>
        <v>40</v>
      </c>
      <c r="P14" s="64">
        <f>SUM('Sheet 11:Sheet 13'!O13)+SUM('Concert Tally Sheets - 4'!O13)</f>
        <v>0</v>
      </c>
      <c r="Q14" s="55" t="s">
        <v>109</v>
      </c>
      <c r="R14" s="56">
        <v>2</v>
      </c>
      <c r="S14" s="55" t="s">
        <v>110</v>
      </c>
      <c r="T14" s="57">
        <f t="shared" si="1"/>
        <v>0</v>
      </c>
    </row>
    <row r="15" spans="2:20" x14ac:dyDescent="0.25">
      <c r="B15" s="58"/>
      <c r="C15" s="72">
        <f>SUM('Sheet 9:Sheet 10'!B14)</f>
        <v>0</v>
      </c>
      <c r="D15" s="33" t="s">
        <v>109</v>
      </c>
      <c r="E15" s="53">
        <v>1</v>
      </c>
      <c r="F15" s="33" t="s">
        <v>110</v>
      </c>
      <c r="G15" s="54">
        <f t="shared" si="0"/>
        <v>0</v>
      </c>
      <c r="J15" s="36">
        <f>INT((C15+'Deposit Slip (3)'!M15)/25)*25</f>
        <v>0</v>
      </c>
      <c r="K15" s="56">
        <f t="shared" si="2"/>
        <v>0</v>
      </c>
      <c r="L15" s="37"/>
      <c r="M15" s="59">
        <f>C15-J15+'Deposit Slip (3)'!M15</f>
        <v>21</v>
      </c>
      <c r="N15" s="60">
        <f t="shared" si="3"/>
        <v>21</v>
      </c>
      <c r="P15" s="64">
        <f>SUM('Sheet 11:Sheet 13'!O14)+SUM('Concert Tally Sheets - 4'!O14)</f>
        <v>0</v>
      </c>
      <c r="Q15" s="55" t="s">
        <v>109</v>
      </c>
      <c r="R15" s="56">
        <v>1</v>
      </c>
      <c r="S15" s="55" t="s">
        <v>110</v>
      </c>
      <c r="T15" s="57">
        <f t="shared" si="1"/>
        <v>0</v>
      </c>
    </row>
    <row r="16" spans="2:20" x14ac:dyDescent="0.25">
      <c r="B16" s="58"/>
      <c r="C16" s="72">
        <f>SUM('Sheet 9:Sheet 10'!B15)</f>
        <v>0</v>
      </c>
      <c r="D16" s="33" t="s">
        <v>109</v>
      </c>
      <c r="E16" s="9">
        <v>0.5</v>
      </c>
      <c r="F16" s="33" t="s">
        <v>110</v>
      </c>
      <c r="G16" s="61">
        <f t="shared" si="0"/>
        <v>0</v>
      </c>
      <c r="J16" s="36"/>
      <c r="K16" s="56"/>
      <c r="L16" s="80"/>
      <c r="M16" s="59"/>
      <c r="N16" s="60"/>
      <c r="P16" s="36"/>
      <c r="Q16" s="37"/>
      <c r="R16" s="37"/>
      <c r="S16" s="55" t="s">
        <v>113</v>
      </c>
      <c r="T16" s="62">
        <f>SUM(T9:T15)</f>
        <v>0</v>
      </c>
    </row>
    <row r="17" spans="2:20" x14ac:dyDescent="0.25">
      <c r="B17" s="58"/>
      <c r="C17" s="72">
        <f>SUM('Sheet 9:Sheet 10'!B16)</f>
        <v>0</v>
      </c>
      <c r="D17" s="33" t="s">
        <v>109</v>
      </c>
      <c r="E17" s="9">
        <v>0.25</v>
      </c>
      <c r="F17" s="33" t="s">
        <v>110</v>
      </c>
      <c r="G17" s="61">
        <f t="shared" si="0"/>
        <v>0</v>
      </c>
      <c r="J17" s="36">
        <f>INT((C17+'Deposit Slip (3)'!M17)/40)*40</f>
        <v>0</v>
      </c>
      <c r="K17" s="56">
        <f>J17*E17</f>
        <v>0</v>
      </c>
      <c r="L17" s="37"/>
      <c r="M17" s="59">
        <f>C17-J17+'Deposit Slip (3)'!M17</f>
        <v>13</v>
      </c>
      <c r="N17" s="60">
        <f>M17*E17</f>
        <v>3.25</v>
      </c>
      <c r="P17" s="36"/>
      <c r="Q17" s="37"/>
      <c r="R17" s="37"/>
      <c r="S17" s="55" t="s">
        <v>114</v>
      </c>
      <c r="T17" s="51">
        <v>1.2807999999999999</v>
      </c>
    </row>
    <row r="18" spans="2:20" x14ac:dyDescent="0.25">
      <c r="B18" s="58"/>
      <c r="C18" s="72">
        <f>SUM('Sheet 9:Sheet 10'!B17)</f>
        <v>0</v>
      </c>
      <c r="D18" s="33" t="s">
        <v>109</v>
      </c>
      <c r="E18" s="9">
        <v>0.1</v>
      </c>
      <c r="F18" s="33" t="s">
        <v>110</v>
      </c>
      <c r="G18" s="61">
        <f t="shared" si="0"/>
        <v>0</v>
      </c>
      <c r="J18" s="36">
        <f>INT((C18+'Deposit Slip (3)'!M18)/50)*50</f>
        <v>0</v>
      </c>
      <c r="K18" s="56">
        <f>J18*E18</f>
        <v>0</v>
      </c>
      <c r="L18" s="37"/>
      <c r="M18" s="59">
        <f>C18-J18+'Deposit Slip (3)'!M18</f>
        <v>17</v>
      </c>
      <c r="N18" s="60">
        <f>M18*E18</f>
        <v>1.7000000000000002</v>
      </c>
      <c r="P18" s="63"/>
      <c r="Q18" s="64"/>
      <c r="R18" s="64"/>
      <c r="S18" s="65" t="s">
        <v>115</v>
      </c>
      <c r="T18" s="66">
        <f>ROUND(T16*T17,2)</f>
        <v>0</v>
      </c>
    </row>
    <row r="19" spans="2:20" x14ac:dyDescent="0.25">
      <c r="B19" s="58"/>
      <c r="C19" s="72">
        <f>SUM('Sheet 9:Sheet 10'!B18)</f>
        <v>0</v>
      </c>
      <c r="D19" s="33" t="s">
        <v>109</v>
      </c>
      <c r="E19" s="9">
        <v>0.05</v>
      </c>
      <c r="F19" s="33" t="s">
        <v>110</v>
      </c>
      <c r="G19" s="61">
        <f t="shared" si="0"/>
        <v>0</v>
      </c>
      <c r="J19" s="36">
        <f>INT((C19+'Deposit Slip (3)'!M19)/40)*40</f>
        <v>0</v>
      </c>
      <c r="K19" s="56">
        <f>J19*E19</f>
        <v>0</v>
      </c>
      <c r="L19" s="37"/>
      <c r="M19" s="59">
        <f>C19-J19+'Deposit Slip (3)'!M19</f>
        <v>10</v>
      </c>
      <c r="N19" s="60">
        <f>M19*E19</f>
        <v>0.5</v>
      </c>
    </row>
    <row r="20" spans="2:20" x14ac:dyDescent="0.25">
      <c r="B20" s="58"/>
      <c r="C20" s="72">
        <f>SUM('Sheet 9:Sheet 10'!B19)</f>
        <v>0</v>
      </c>
      <c r="D20" s="33" t="s">
        <v>109</v>
      </c>
      <c r="E20" s="9">
        <v>0.01</v>
      </c>
      <c r="G20" s="61">
        <f t="shared" si="0"/>
        <v>0</v>
      </c>
      <c r="J20" s="36">
        <f>INT((C20+'Deposit Slip (3)'!M20)/50)*50</f>
        <v>0</v>
      </c>
      <c r="K20" s="67">
        <f>J20*E20</f>
        <v>0</v>
      </c>
      <c r="L20" s="37"/>
      <c r="M20" s="59">
        <f>C20-J20+'Deposit Slip (3)'!M20</f>
        <v>3</v>
      </c>
      <c r="N20" s="68">
        <f>M20*E20</f>
        <v>0.03</v>
      </c>
    </row>
    <row r="21" spans="2:20" x14ac:dyDescent="0.25">
      <c r="E21" t="s">
        <v>116</v>
      </c>
      <c r="G21" s="67">
        <f>SUM(G9:G15)</f>
        <v>0</v>
      </c>
      <c r="J21" s="63"/>
      <c r="K21" s="61">
        <f>SUM(K14:K20)</f>
        <v>0</v>
      </c>
      <c r="L21" s="64"/>
      <c r="M21" s="64"/>
      <c r="N21" s="66">
        <f>SUM(N14:N20)</f>
        <v>66.48</v>
      </c>
    </row>
    <row r="22" spans="2:20" x14ac:dyDescent="0.25">
      <c r="E22" t="s">
        <v>117</v>
      </c>
      <c r="G22" s="69">
        <f>SUM(G17:G20)</f>
        <v>0</v>
      </c>
    </row>
    <row r="23" spans="2:20" x14ac:dyDescent="0.25">
      <c r="E23" t="s">
        <v>121</v>
      </c>
      <c r="G23" s="69">
        <f>SUM(G21:G22)+T18+G6</f>
        <v>0</v>
      </c>
      <c r="J23" t="s">
        <v>145</v>
      </c>
      <c r="K23" s="53">
        <f>SUM(K17:K20)</f>
        <v>0</v>
      </c>
    </row>
    <row r="24" spans="2:20" x14ac:dyDescent="0.25">
      <c r="E24" t="s">
        <v>118</v>
      </c>
      <c r="G24" s="70">
        <f>G6+K21+SUM(G9:G13)</f>
        <v>0</v>
      </c>
    </row>
    <row r="26" spans="2:20" x14ac:dyDescent="0.25">
      <c r="B26" t="s">
        <v>37</v>
      </c>
    </row>
    <row r="28" spans="2:20" x14ac:dyDescent="0.25">
      <c r="C28" s="72">
        <f>SUM('Sheet 9:Sheet 10'!B27)</f>
        <v>0</v>
      </c>
      <c r="D28" s="33" t="s">
        <v>109</v>
      </c>
      <c r="E28" s="53">
        <v>5</v>
      </c>
      <c r="F28" s="33" t="s">
        <v>110</v>
      </c>
      <c r="G28" s="54">
        <f>C28*E28</f>
        <v>0</v>
      </c>
      <c r="H28" t="s">
        <v>119</v>
      </c>
    </row>
    <row r="31" spans="2:20" x14ac:dyDescent="0.25">
      <c r="B31" t="s">
        <v>38</v>
      </c>
      <c r="G31" s="72">
        <f>SUM('Sheet 9:Sheet 10'!F30)</f>
        <v>0</v>
      </c>
      <c r="H31" t="s">
        <v>119</v>
      </c>
    </row>
  </sheetData>
  <mergeCells count="2">
    <mergeCell ref="J11:K11"/>
    <mergeCell ref="M11:N1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2:T31"/>
  <sheetViews>
    <sheetView zoomScaleNormal="100" workbookViewId="0">
      <selection activeCell="M14" sqref="M14"/>
    </sheetView>
  </sheetViews>
  <sheetFormatPr defaultRowHeight="15" x14ac:dyDescent="0.25"/>
  <cols>
    <col min="1" max="2" width="8.7109375" customWidth="1"/>
    <col min="3" max="3" width="9.85546875" customWidth="1"/>
    <col min="4" max="5" width="8.7109375" customWidth="1"/>
    <col min="6" max="6" width="9.85546875" customWidth="1"/>
    <col min="7" max="7" width="11.5703125" customWidth="1"/>
    <col min="8" max="1025" width="8.7109375" customWidth="1"/>
  </cols>
  <sheetData>
    <row r="2" spans="2:20" x14ac:dyDescent="0.25">
      <c r="B2" t="s">
        <v>104</v>
      </c>
      <c r="C2" s="45">
        <v>44414</v>
      </c>
    </row>
    <row r="3" spans="2:20" x14ac:dyDescent="0.25">
      <c r="B3" t="s">
        <v>105</v>
      </c>
      <c r="D3" t="s">
        <v>35</v>
      </c>
      <c r="E3" s="46"/>
      <c r="F3" s="46"/>
      <c r="G3" s="45"/>
    </row>
    <row r="4" spans="2:20" x14ac:dyDescent="0.25">
      <c r="E4" s="46"/>
      <c r="F4" s="46"/>
      <c r="G4" s="46"/>
    </row>
    <row r="5" spans="2:20" x14ac:dyDescent="0.25">
      <c r="D5" t="s">
        <v>106</v>
      </c>
      <c r="F5" s="46"/>
    </row>
    <row r="6" spans="2:20" ht="15.75" thickBot="1" x14ac:dyDescent="0.3">
      <c r="B6" t="s">
        <v>102</v>
      </c>
      <c r="G6" s="47"/>
    </row>
    <row r="7" spans="2:20" x14ac:dyDescent="0.25">
      <c r="P7" s="48"/>
      <c r="Q7" s="49"/>
      <c r="R7" s="49" t="s">
        <v>108</v>
      </c>
      <c r="S7" s="49"/>
      <c r="T7" s="50"/>
    </row>
    <row r="8" spans="2:20" x14ac:dyDescent="0.25">
      <c r="B8" t="s">
        <v>103</v>
      </c>
      <c r="P8" s="36"/>
      <c r="Q8" s="80"/>
      <c r="R8" s="80"/>
      <c r="S8" s="80"/>
      <c r="T8" s="51"/>
    </row>
    <row r="9" spans="2:20" ht="15.75" thickBot="1" x14ac:dyDescent="0.3">
      <c r="C9" s="72"/>
      <c r="D9" s="33" t="s">
        <v>109</v>
      </c>
      <c r="E9" s="53">
        <v>100</v>
      </c>
      <c r="F9" s="33" t="s">
        <v>110</v>
      </c>
      <c r="G9" s="54">
        <f t="shared" ref="G9:G20" si="0">C9*E9</f>
        <v>0</v>
      </c>
      <c r="P9" s="71">
        <f>SUM('Sheet 11:Sheet 12'!I8)+SUM('Concert Tally Sheets - 4'!O8)</f>
        <v>0</v>
      </c>
      <c r="Q9" s="55" t="s">
        <v>109</v>
      </c>
      <c r="R9" s="56">
        <v>100</v>
      </c>
      <c r="S9" s="55"/>
      <c r="T9" s="57">
        <f t="shared" ref="T9:T15" si="1">P9*R9</f>
        <v>0</v>
      </c>
    </row>
    <row r="10" spans="2:20" ht="15.75" thickBot="1" x14ac:dyDescent="0.3">
      <c r="C10" s="72"/>
      <c r="D10" s="33" t="s">
        <v>109</v>
      </c>
      <c r="E10" s="53">
        <v>50</v>
      </c>
      <c r="F10" s="33" t="s">
        <v>110</v>
      </c>
      <c r="G10" s="54">
        <f t="shared" si="0"/>
        <v>0</v>
      </c>
      <c r="P10" s="71">
        <f>SUM('Sheet 11:Sheet 12'!I9)+SUM('Concert Tally Sheets - 4'!O9)</f>
        <v>0</v>
      </c>
      <c r="Q10" s="55" t="s">
        <v>109</v>
      </c>
      <c r="R10" s="56">
        <v>50</v>
      </c>
      <c r="S10" s="55" t="s">
        <v>110</v>
      </c>
      <c r="T10" s="57">
        <f t="shared" si="1"/>
        <v>0</v>
      </c>
    </row>
    <row r="11" spans="2:20" ht="15.75" thickBot="1" x14ac:dyDescent="0.3">
      <c r="C11" s="72"/>
      <c r="D11" s="33" t="s">
        <v>109</v>
      </c>
      <c r="E11" s="53">
        <v>20</v>
      </c>
      <c r="F11" s="33" t="s">
        <v>110</v>
      </c>
      <c r="G11" s="54">
        <f t="shared" si="0"/>
        <v>0</v>
      </c>
      <c r="J11" s="119" t="s">
        <v>111</v>
      </c>
      <c r="K11" s="119"/>
      <c r="L11" s="49"/>
      <c r="M11" s="120" t="s">
        <v>112</v>
      </c>
      <c r="N11" s="120"/>
      <c r="P11" s="71">
        <f>SUM('Sheet 11:Sheet 12'!I10)+SUM('Concert Tally Sheets - 4'!O10)</f>
        <v>0</v>
      </c>
      <c r="Q11" s="55" t="s">
        <v>109</v>
      </c>
      <c r="R11" s="56">
        <v>20</v>
      </c>
      <c r="S11" s="55" t="s">
        <v>110</v>
      </c>
      <c r="T11" s="57">
        <f t="shared" si="1"/>
        <v>0</v>
      </c>
    </row>
    <row r="12" spans="2:20" ht="15.75" thickBot="1" x14ac:dyDescent="0.3">
      <c r="C12" s="72"/>
      <c r="D12" s="33" t="s">
        <v>109</v>
      </c>
      <c r="E12" s="53">
        <v>10</v>
      </c>
      <c r="F12" s="33" t="s">
        <v>110</v>
      </c>
      <c r="G12" s="54">
        <f t="shared" si="0"/>
        <v>0</v>
      </c>
      <c r="J12" s="36"/>
      <c r="K12" s="37"/>
      <c r="L12" s="37"/>
      <c r="M12" s="37"/>
      <c r="N12" s="51"/>
      <c r="P12" s="71">
        <f>SUM('Sheet 11:Sheet 12'!I11)+SUM('Concert Tally Sheets - 4'!O11)</f>
        <v>0</v>
      </c>
      <c r="Q12" s="55" t="s">
        <v>109</v>
      </c>
      <c r="R12" s="56">
        <v>10</v>
      </c>
      <c r="S12" s="55" t="s">
        <v>110</v>
      </c>
      <c r="T12" s="57">
        <f t="shared" si="1"/>
        <v>0</v>
      </c>
    </row>
    <row r="13" spans="2:20" ht="15.75" thickBot="1" x14ac:dyDescent="0.3">
      <c r="C13" s="72"/>
      <c r="D13" s="33" t="s">
        <v>109</v>
      </c>
      <c r="E13" s="53">
        <v>5</v>
      </c>
      <c r="F13" s="33" t="s">
        <v>110</v>
      </c>
      <c r="G13" s="54">
        <f t="shared" si="0"/>
        <v>0</v>
      </c>
      <c r="J13" s="36"/>
      <c r="K13" s="37"/>
      <c r="L13" s="37"/>
      <c r="M13" s="37"/>
      <c r="N13" s="51"/>
      <c r="P13" s="71">
        <f>SUM('Sheet 11:Sheet 12'!I12)+SUM('Concert Tally Sheets - 4'!O12)</f>
        <v>0</v>
      </c>
      <c r="Q13" s="55" t="s">
        <v>109</v>
      </c>
      <c r="R13" s="56">
        <v>5</v>
      </c>
      <c r="S13" s="55" t="s">
        <v>110</v>
      </c>
      <c r="T13" s="57">
        <f t="shared" si="1"/>
        <v>0</v>
      </c>
    </row>
    <row r="14" spans="2:20" ht="15.75" thickBot="1" x14ac:dyDescent="0.3">
      <c r="B14" s="58"/>
      <c r="C14" s="72"/>
      <c r="D14" s="33" t="s">
        <v>109</v>
      </c>
      <c r="E14" s="53">
        <v>2</v>
      </c>
      <c r="F14" s="33" t="s">
        <v>110</v>
      </c>
      <c r="G14" s="54">
        <f t="shared" si="0"/>
        <v>0</v>
      </c>
      <c r="J14" s="36">
        <f>INT((C14+'Deposit Slip (4)'!M14)/25)*25</f>
        <v>0</v>
      </c>
      <c r="K14" s="56">
        <f t="shared" ref="K14:K15" si="2">J14*E14</f>
        <v>0</v>
      </c>
      <c r="L14" s="37"/>
      <c r="M14" s="59">
        <f>C14-J14+'Deposit Slip (4)'!M14</f>
        <v>20</v>
      </c>
      <c r="N14" s="60">
        <f t="shared" ref="N14:N15" si="3">M14*E14</f>
        <v>40</v>
      </c>
      <c r="P14" s="71">
        <f>SUM('Sheet 11:Sheet 12'!I13)+SUM('Concert Tally Sheets - 4'!O13)</f>
        <v>0</v>
      </c>
      <c r="Q14" s="55" t="s">
        <v>109</v>
      </c>
      <c r="R14" s="56">
        <v>2</v>
      </c>
      <c r="S14" s="55" t="s">
        <v>110</v>
      </c>
      <c r="T14" s="57">
        <f t="shared" si="1"/>
        <v>0</v>
      </c>
    </row>
    <row r="15" spans="2:20" ht="15.75" thickBot="1" x14ac:dyDescent="0.3">
      <c r="B15" s="58"/>
      <c r="C15" s="72"/>
      <c r="D15" s="33" t="s">
        <v>109</v>
      </c>
      <c r="E15" s="53">
        <v>1</v>
      </c>
      <c r="F15" s="33" t="s">
        <v>110</v>
      </c>
      <c r="G15" s="54">
        <f t="shared" si="0"/>
        <v>0</v>
      </c>
      <c r="J15" s="36">
        <f>INT((C15+'Deposit Slip (4)'!M15)/25)*25</f>
        <v>0</v>
      </c>
      <c r="K15" s="56">
        <f t="shared" si="2"/>
        <v>0</v>
      </c>
      <c r="L15" s="37"/>
      <c r="M15" s="59">
        <f>C15-J15+'Deposit Slip (4)'!M15</f>
        <v>21</v>
      </c>
      <c r="N15" s="60">
        <f t="shared" si="3"/>
        <v>21</v>
      </c>
      <c r="P15" s="71">
        <f>SUM('Sheet 11:Sheet 12'!I14)+SUM('Concert Tally Sheets - 4'!O14)</f>
        <v>0</v>
      </c>
      <c r="Q15" s="55" t="s">
        <v>109</v>
      </c>
      <c r="R15" s="56">
        <v>1</v>
      </c>
      <c r="S15" s="55" t="s">
        <v>110</v>
      </c>
      <c r="T15" s="57">
        <f t="shared" si="1"/>
        <v>0</v>
      </c>
    </row>
    <row r="16" spans="2:20" ht="15.75" thickBot="1" x14ac:dyDescent="0.3">
      <c r="B16" s="58"/>
      <c r="C16" s="72"/>
      <c r="D16" s="33" t="s">
        <v>109</v>
      </c>
      <c r="E16" s="9">
        <v>0.5</v>
      </c>
      <c r="F16" s="33" t="s">
        <v>110</v>
      </c>
      <c r="G16" s="61">
        <f t="shared" si="0"/>
        <v>0</v>
      </c>
      <c r="J16" s="36"/>
      <c r="K16" s="56"/>
      <c r="L16" s="80"/>
      <c r="M16" s="59"/>
      <c r="N16" s="60"/>
      <c r="P16" s="36"/>
      <c r="Q16" s="80"/>
      <c r="R16" s="80"/>
      <c r="S16" s="55" t="s">
        <v>113</v>
      </c>
      <c r="T16" s="62">
        <f>SUM(T9:T15)</f>
        <v>0</v>
      </c>
    </row>
    <row r="17" spans="2:20" ht="15.75" thickBot="1" x14ac:dyDescent="0.3">
      <c r="B17" s="58"/>
      <c r="C17" s="72"/>
      <c r="D17" s="33" t="s">
        <v>109</v>
      </c>
      <c r="E17" s="9">
        <v>0.25</v>
      </c>
      <c r="F17" s="33" t="s">
        <v>110</v>
      </c>
      <c r="G17" s="61">
        <f t="shared" si="0"/>
        <v>0</v>
      </c>
      <c r="J17" s="36">
        <f>INT((C17+'Deposit Slip (4)'!M17)/40)*40</f>
        <v>0</v>
      </c>
      <c r="K17" s="56">
        <f>J17*E17</f>
        <v>0</v>
      </c>
      <c r="L17" s="37"/>
      <c r="M17" s="59">
        <f>C17-J17+'Deposit Slip (4)'!M17</f>
        <v>13</v>
      </c>
      <c r="N17" s="60">
        <f>M17*E17</f>
        <v>3.25</v>
      </c>
      <c r="P17" s="36"/>
      <c r="Q17" s="80"/>
      <c r="R17" s="80"/>
      <c r="S17" s="55" t="s">
        <v>114</v>
      </c>
      <c r="T17" s="51">
        <v>1.2602500000000001</v>
      </c>
    </row>
    <row r="18" spans="2:20" ht="15.75" thickBot="1" x14ac:dyDescent="0.3">
      <c r="B18" s="58"/>
      <c r="C18" s="72"/>
      <c r="D18" s="33" t="s">
        <v>109</v>
      </c>
      <c r="E18" s="9">
        <v>0.1</v>
      </c>
      <c r="F18" s="33" t="s">
        <v>110</v>
      </c>
      <c r="G18" s="61">
        <f t="shared" si="0"/>
        <v>0</v>
      </c>
      <c r="J18" s="36">
        <f>INT((C18+'Deposit Slip (4)'!M18)/50)*50</f>
        <v>0</v>
      </c>
      <c r="K18" s="56">
        <f>J18*E18</f>
        <v>0</v>
      </c>
      <c r="L18" s="37"/>
      <c r="M18" s="59">
        <f>C18-J18+'Deposit Slip (4)'!M18</f>
        <v>17</v>
      </c>
      <c r="N18" s="60">
        <f>M18*E18</f>
        <v>1.7000000000000002</v>
      </c>
      <c r="P18" s="63"/>
      <c r="Q18" s="71"/>
      <c r="R18" s="71"/>
      <c r="S18" s="65" t="s">
        <v>115</v>
      </c>
      <c r="T18" s="66">
        <f>ROUND(T16*T17,2)</f>
        <v>0</v>
      </c>
    </row>
    <row r="19" spans="2:20" ht="15.75" thickBot="1" x14ac:dyDescent="0.3">
      <c r="B19" s="58"/>
      <c r="C19" s="72"/>
      <c r="D19" s="33" t="s">
        <v>109</v>
      </c>
      <c r="E19" s="9">
        <v>0.05</v>
      </c>
      <c r="F19" s="33" t="s">
        <v>110</v>
      </c>
      <c r="G19" s="61">
        <f t="shared" si="0"/>
        <v>0</v>
      </c>
      <c r="J19" s="36">
        <f>INT((C19+'Deposit Slip (4)'!M19)/40)*40</f>
        <v>0</v>
      </c>
      <c r="K19" s="56">
        <f>J19*E19</f>
        <v>0</v>
      </c>
      <c r="L19" s="37"/>
      <c r="M19" s="59">
        <f>C19-J19+'Deposit Slip (4)'!M19</f>
        <v>10</v>
      </c>
      <c r="N19" s="60">
        <f>M19*E19</f>
        <v>0.5</v>
      </c>
    </row>
    <row r="20" spans="2:20" ht="15.75" thickBot="1" x14ac:dyDescent="0.3">
      <c r="B20" s="58"/>
      <c r="C20" s="72"/>
      <c r="D20" s="33" t="s">
        <v>109</v>
      </c>
      <c r="E20" s="9">
        <v>0.01</v>
      </c>
      <c r="G20" s="61">
        <f t="shared" si="0"/>
        <v>0</v>
      </c>
      <c r="J20" s="36">
        <f>INT((C20+'Deposit Slip (4)'!M20)/50)*50</f>
        <v>0</v>
      </c>
      <c r="K20" s="69">
        <f>J20*E20</f>
        <v>0</v>
      </c>
      <c r="L20" s="37"/>
      <c r="M20" s="59">
        <f>C20-J20+'Deposit Slip (4)'!M20</f>
        <v>3</v>
      </c>
      <c r="N20" s="68">
        <f>M20*E20</f>
        <v>0.03</v>
      </c>
    </row>
    <row r="21" spans="2:20" ht="15.75" thickBot="1" x14ac:dyDescent="0.3">
      <c r="E21" t="s">
        <v>116</v>
      </c>
      <c r="G21" s="67">
        <f>SUM(G9:G15)</f>
        <v>0</v>
      </c>
      <c r="J21" s="63"/>
      <c r="K21" s="61">
        <f>SUM(K14:K20)</f>
        <v>0</v>
      </c>
      <c r="L21" s="64"/>
      <c r="M21" s="64"/>
      <c r="N21" s="66">
        <f>SUM(N14:N20)</f>
        <v>66.48</v>
      </c>
    </row>
    <row r="22" spans="2:20" ht="16.5" thickTop="1" thickBot="1" x14ac:dyDescent="0.3">
      <c r="E22" t="s">
        <v>117</v>
      </c>
      <c r="G22" s="69">
        <f>SUM(G17:G20)</f>
        <v>0</v>
      </c>
      <c r="T22">
        <f>50.41/40</f>
        <v>1.2602499999999999</v>
      </c>
    </row>
    <row r="23" spans="2:20" ht="16.5" thickTop="1" thickBot="1" x14ac:dyDescent="0.3">
      <c r="E23" t="s">
        <v>121</v>
      </c>
      <c r="G23" s="69">
        <f>SUM(G21:G22)+T18+G6</f>
        <v>0</v>
      </c>
      <c r="J23" t="s">
        <v>145</v>
      </c>
      <c r="K23" s="53">
        <f>SUM(K17:K20)</f>
        <v>0</v>
      </c>
    </row>
    <row r="24" spans="2:20" ht="15.75" thickTop="1" x14ac:dyDescent="0.25">
      <c r="E24" t="s">
        <v>118</v>
      </c>
      <c r="G24" s="70">
        <f>G6+K21+SUM(G9:G13)+T18</f>
        <v>0</v>
      </c>
    </row>
    <row r="26" spans="2:20" x14ac:dyDescent="0.25">
      <c r="B26" t="s">
        <v>37</v>
      </c>
    </row>
    <row r="28" spans="2:20" ht="15.75" thickBot="1" x14ac:dyDescent="0.3">
      <c r="C28" s="72">
        <f>SUM('Sheet 14:Sheet 15'!B27)</f>
        <v>0</v>
      </c>
      <c r="D28" s="33" t="s">
        <v>109</v>
      </c>
      <c r="E28" s="53">
        <v>5</v>
      </c>
      <c r="F28" s="33" t="s">
        <v>110</v>
      </c>
      <c r="G28" s="54">
        <f>C28*E28</f>
        <v>0</v>
      </c>
      <c r="H28" t="s">
        <v>119</v>
      </c>
    </row>
    <row r="31" spans="2:20" ht="15.75" thickBot="1" x14ac:dyDescent="0.3">
      <c r="B31" t="s">
        <v>38</v>
      </c>
      <c r="G31" s="72">
        <f>SUM('Sheet 14:Sheet 15'!F30)</f>
        <v>0</v>
      </c>
      <c r="H31" t="s">
        <v>119</v>
      </c>
    </row>
  </sheetData>
  <mergeCells count="2">
    <mergeCell ref="J11:K11"/>
    <mergeCell ref="M11:N1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30"/>
  <sheetViews>
    <sheetView zoomScaleNormal="100" workbookViewId="0">
      <selection activeCell="Q10" sqref="Q10:S10"/>
    </sheetView>
  </sheetViews>
  <sheetFormatPr defaultRowHeight="15" x14ac:dyDescent="0.25"/>
  <cols>
    <col min="1" max="1" width="8.7109375" customWidth="1"/>
    <col min="2" max="2" width="10.140625" customWidth="1"/>
    <col min="3" max="3" width="4.42578125" customWidth="1"/>
    <col min="4" max="4" width="8.7109375" customWidth="1"/>
    <col min="5" max="5" width="3.5703125" customWidth="1"/>
    <col min="6" max="6" width="10.5703125" bestFit="1" customWidth="1"/>
    <col min="7" max="1025" width="8.7109375" customWidth="1"/>
  </cols>
  <sheetData>
    <row r="1" spans="1:26" x14ac:dyDescent="0.25">
      <c r="A1" t="s">
        <v>122</v>
      </c>
    </row>
    <row r="3" spans="1:26" x14ac:dyDescent="0.25">
      <c r="A3" t="s">
        <v>123</v>
      </c>
      <c r="B3" s="45">
        <v>44682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26" x14ac:dyDescent="0.25">
      <c r="A5" t="s">
        <v>102</v>
      </c>
      <c r="F5" s="13"/>
    </row>
    <row r="6" spans="1:26" x14ac:dyDescent="0.25">
      <c r="D6" t="s">
        <v>107</v>
      </c>
      <c r="K6" t="s">
        <v>108</v>
      </c>
      <c r="V6" s="109" t="s">
        <v>152</v>
      </c>
    </row>
    <row r="7" spans="1:26" x14ac:dyDescent="0.25">
      <c r="A7" t="s">
        <v>103</v>
      </c>
      <c r="Q7" s="118" t="s">
        <v>124</v>
      </c>
      <c r="R7" s="118"/>
      <c r="S7" s="118"/>
    </row>
    <row r="8" spans="1:26" ht="15.75" thickBot="1" x14ac:dyDescent="0.3">
      <c r="B8" s="64"/>
      <c r="C8" s="33" t="s">
        <v>109</v>
      </c>
      <c r="D8" s="53">
        <v>100</v>
      </c>
      <c r="E8" s="33"/>
      <c r="F8" s="54">
        <f t="shared" ref="F8:F19" si="0">B8*D8</f>
        <v>0</v>
      </c>
      <c r="I8" s="64"/>
      <c r="J8" s="33" t="s">
        <v>109</v>
      </c>
      <c r="K8" s="53">
        <v>100</v>
      </c>
      <c r="L8" s="33"/>
      <c r="M8" s="54">
        <f t="shared" ref="M8:M14" si="1">I8*K8</f>
        <v>0</v>
      </c>
      <c r="V8" s="71"/>
      <c r="W8" s="33" t="s">
        <v>109</v>
      </c>
      <c r="X8" s="53">
        <v>100</v>
      </c>
      <c r="Y8" s="33"/>
      <c r="Z8" s="54">
        <f t="shared" ref="Z8:Z19" si="2">V8*X8</f>
        <v>0</v>
      </c>
    </row>
    <row r="9" spans="1:26" ht="15.75" thickBot="1" x14ac:dyDescent="0.3">
      <c r="B9" s="64">
        <v>3</v>
      </c>
      <c r="C9" s="33" t="s">
        <v>109</v>
      </c>
      <c r="D9" s="53">
        <v>50</v>
      </c>
      <c r="E9" s="33" t="s">
        <v>110</v>
      </c>
      <c r="F9" s="54">
        <f t="shared" si="0"/>
        <v>150</v>
      </c>
      <c r="I9" s="64"/>
      <c r="J9" s="33" t="s">
        <v>109</v>
      </c>
      <c r="K9" s="53">
        <v>50</v>
      </c>
      <c r="L9" s="33" t="s">
        <v>110</v>
      </c>
      <c r="M9" s="54">
        <f t="shared" si="1"/>
        <v>0</v>
      </c>
      <c r="P9" s="4" t="s">
        <v>125</v>
      </c>
      <c r="Q9" s="4"/>
      <c r="R9" s="4"/>
      <c r="S9" s="4" t="s">
        <v>126</v>
      </c>
      <c r="V9" s="71"/>
      <c r="W9" s="33" t="s">
        <v>109</v>
      </c>
      <c r="X9" s="53">
        <v>50</v>
      </c>
      <c r="Y9" s="33" t="s">
        <v>110</v>
      </c>
      <c r="Z9" s="54">
        <f t="shared" si="2"/>
        <v>0</v>
      </c>
    </row>
    <row r="10" spans="1:26" ht="15.75" thickBot="1" x14ac:dyDescent="0.3">
      <c r="B10" s="64">
        <v>5</v>
      </c>
      <c r="C10" s="33" t="s">
        <v>109</v>
      </c>
      <c r="D10" s="53">
        <v>20</v>
      </c>
      <c r="E10" s="33" t="s">
        <v>110</v>
      </c>
      <c r="F10" s="54">
        <f t="shared" si="0"/>
        <v>100</v>
      </c>
      <c r="I10" s="64"/>
      <c r="J10" s="33" t="s">
        <v>109</v>
      </c>
      <c r="K10" s="53">
        <v>20</v>
      </c>
      <c r="L10" s="33" t="s">
        <v>110</v>
      </c>
      <c r="M10" s="54">
        <f t="shared" si="1"/>
        <v>0</v>
      </c>
      <c r="S10" s="13"/>
      <c r="V10" s="71"/>
      <c r="W10" s="33" t="s">
        <v>109</v>
      </c>
      <c r="X10" s="53">
        <v>20</v>
      </c>
      <c r="Y10" s="33" t="s">
        <v>110</v>
      </c>
      <c r="Z10" s="54">
        <f t="shared" si="2"/>
        <v>0</v>
      </c>
    </row>
    <row r="11" spans="1:26" ht="15.75" thickBot="1" x14ac:dyDescent="0.3">
      <c r="B11" s="64"/>
      <c r="C11" s="33" t="s">
        <v>109</v>
      </c>
      <c r="D11" s="53">
        <v>10</v>
      </c>
      <c r="E11" s="33" t="s">
        <v>110</v>
      </c>
      <c r="F11" s="54">
        <f t="shared" si="0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1"/>
        <v>0</v>
      </c>
      <c r="S11" s="13"/>
      <c r="V11" s="71"/>
      <c r="W11" s="33" t="s">
        <v>109</v>
      </c>
      <c r="X11" s="53">
        <v>10</v>
      </c>
      <c r="Y11" s="33" t="s">
        <v>110</v>
      </c>
      <c r="Z11" s="54">
        <f t="shared" si="2"/>
        <v>0</v>
      </c>
    </row>
    <row r="12" spans="1:26" ht="15.75" thickBot="1" x14ac:dyDescent="0.3">
      <c r="B12" s="64">
        <v>1</v>
      </c>
      <c r="C12" s="33" t="s">
        <v>109</v>
      </c>
      <c r="D12" s="53">
        <v>5</v>
      </c>
      <c r="E12" s="33" t="s">
        <v>110</v>
      </c>
      <c r="F12" s="54">
        <f t="shared" si="0"/>
        <v>5</v>
      </c>
      <c r="I12" s="64"/>
      <c r="J12" s="33" t="s">
        <v>109</v>
      </c>
      <c r="K12" s="53">
        <v>5</v>
      </c>
      <c r="L12" s="33" t="s">
        <v>110</v>
      </c>
      <c r="M12" s="54">
        <f t="shared" si="1"/>
        <v>0</v>
      </c>
      <c r="S12" s="13"/>
      <c r="V12" s="71"/>
      <c r="W12" s="33" t="s">
        <v>109</v>
      </c>
      <c r="X12" s="53">
        <v>5</v>
      </c>
      <c r="Y12" s="33" t="s">
        <v>110</v>
      </c>
      <c r="Z12" s="54">
        <f t="shared" si="2"/>
        <v>0</v>
      </c>
    </row>
    <row r="13" spans="1:26" ht="15.75" thickBot="1" x14ac:dyDescent="0.3">
      <c r="B13" s="64">
        <v>1</v>
      </c>
      <c r="C13" s="33" t="s">
        <v>109</v>
      </c>
      <c r="D13" s="53">
        <v>2</v>
      </c>
      <c r="E13" s="33" t="s">
        <v>110</v>
      </c>
      <c r="F13" s="54">
        <f t="shared" si="0"/>
        <v>2</v>
      </c>
      <c r="I13" s="64"/>
      <c r="J13" s="33" t="s">
        <v>109</v>
      </c>
      <c r="K13" s="53">
        <v>2</v>
      </c>
      <c r="L13" s="33" t="s">
        <v>110</v>
      </c>
      <c r="M13" s="54">
        <f t="shared" si="1"/>
        <v>0</v>
      </c>
      <c r="S13" s="13"/>
      <c r="V13" s="71"/>
      <c r="W13" s="33" t="s">
        <v>109</v>
      </c>
      <c r="X13" s="53">
        <v>2</v>
      </c>
      <c r="Y13" s="33" t="s">
        <v>110</v>
      </c>
      <c r="Z13" s="54">
        <f t="shared" si="2"/>
        <v>0</v>
      </c>
    </row>
    <row r="14" spans="1:26" ht="15.75" thickBot="1" x14ac:dyDescent="0.3">
      <c r="B14" s="64">
        <v>2</v>
      </c>
      <c r="C14" s="33" t="s">
        <v>109</v>
      </c>
      <c r="D14" s="53">
        <v>1</v>
      </c>
      <c r="E14" s="33" t="s">
        <v>110</v>
      </c>
      <c r="F14" s="54">
        <f t="shared" si="0"/>
        <v>2</v>
      </c>
      <c r="I14" s="64"/>
      <c r="J14" s="33" t="s">
        <v>109</v>
      </c>
      <c r="K14" s="53">
        <v>1</v>
      </c>
      <c r="L14" s="33" t="s">
        <v>110</v>
      </c>
      <c r="M14" s="54">
        <f t="shared" si="1"/>
        <v>0</v>
      </c>
      <c r="S14" s="13"/>
      <c r="V14" s="71"/>
      <c r="W14" s="33" t="s">
        <v>109</v>
      </c>
      <c r="X14" s="53">
        <v>1</v>
      </c>
      <c r="Y14" s="33" t="s">
        <v>110</v>
      </c>
      <c r="Z14" s="54">
        <f t="shared" si="2"/>
        <v>0</v>
      </c>
    </row>
    <row r="15" spans="1:26" ht="15.75" thickBot="1" x14ac:dyDescent="0.3">
      <c r="B15" s="71"/>
      <c r="C15" s="33" t="s">
        <v>109</v>
      </c>
      <c r="D15" s="9">
        <v>0.5</v>
      </c>
      <c r="E15" s="33" t="s">
        <v>110</v>
      </c>
      <c r="F15" s="61">
        <f t="shared" si="0"/>
        <v>0</v>
      </c>
      <c r="S15" s="13"/>
      <c r="V15" s="71"/>
      <c r="W15" s="33" t="s">
        <v>109</v>
      </c>
      <c r="X15" s="9">
        <v>0.5</v>
      </c>
      <c r="Y15" s="33" t="s">
        <v>110</v>
      </c>
      <c r="Z15" s="61">
        <f t="shared" si="2"/>
        <v>0</v>
      </c>
    </row>
    <row r="16" spans="1:26" ht="15.75" thickBot="1" x14ac:dyDescent="0.3">
      <c r="B16" s="64">
        <v>4</v>
      </c>
      <c r="C16" s="33" t="s">
        <v>109</v>
      </c>
      <c r="D16" s="9">
        <v>0.25</v>
      </c>
      <c r="E16" s="33" t="s">
        <v>110</v>
      </c>
      <c r="F16" s="61">
        <f t="shared" si="0"/>
        <v>1</v>
      </c>
      <c r="L16" s="33" t="s">
        <v>113</v>
      </c>
      <c r="M16" s="53">
        <f>SUM(M8:M14)</f>
        <v>0</v>
      </c>
      <c r="S16" s="13"/>
      <c r="V16" s="71"/>
      <c r="W16" s="33" t="s">
        <v>109</v>
      </c>
      <c r="X16" s="9">
        <v>0.25</v>
      </c>
      <c r="Y16" s="33" t="s">
        <v>110</v>
      </c>
      <c r="Z16" s="61">
        <f t="shared" si="2"/>
        <v>0</v>
      </c>
    </row>
    <row r="17" spans="1:26" ht="15.75" thickBot="1" x14ac:dyDescent="0.3">
      <c r="B17" s="64"/>
      <c r="C17" s="33" t="s">
        <v>109</v>
      </c>
      <c r="D17" s="9">
        <v>0.1</v>
      </c>
      <c r="E17" s="33" t="s">
        <v>110</v>
      </c>
      <c r="F17" s="61">
        <f t="shared" si="0"/>
        <v>0</v>
      </c>
      <c r="L17" s="33" t="s">
        <v>114</v>
      </c>
      <c r="M17" s="39">
        <v>1.27</v>
      </c>
      <c r="V17" s="71"/>
      <c r="W17" s="33" t="s">
        <v>109</v>
      </c>
      <c r="X17" s="9">
        <v>0.1</v>
      </c>
      <c r="Y17" s="33" t="s">
        <v>110</v>
      </c>
      <c r="Z17" s="61">
        <f t="shared" si="2"/>
        <v>0</v>
      </c>
    </row>
    <row r="18" spans="1:26" ht="15.75" thickBot="1" x14ac:dyDescent="0.3">
      <c r="B18" s="64"/>
      <c r="C18" s="33" t="s">
        <v>109</v>
      </c>
      <c r="D18" s="9">
        <v>0.05</v>
      </c>
      <c r="E18" s="33" t="s">
        <v>110</v>
      </c>
      <c r="F18" s="61">
        <f t="shared" si="0"/>
        <v>0</v>
      </c>
      <c r="L18" t="s">
        <v>127</v>
      </c>
      <c r="M18" s="5">
        <f>ROUND(M16*M17,2)</f>
        <v>0</v>
      </c>
      <c r="V18" s="71"/>
      <c r="W18" s="33" t="s">
        <v>109</v>
      </c>
      <c r="X18" s="9">
        <v>0.05</v>
      </c>
      <c r="Y18" s="33" t="s">
        <v>110</v>
      </c>
      <c r="Z18" s="61">
        <f t="shared" si="2"/>
        <v>0</v>
      </c>
    </row>
    <row r="19" spans="1:26" ht="15.75" thickBot="1" x14ac:dyDescent="0.3">
      <c r="B19" s="64"/>
      <c r="C19" s="33" t="s">
        <v>109</v>
      </c>
      <c r="D19" s="9">
        <v>0.01</v>
      </c>
      <c r="F19" s="61">
        <f t="shared" si="0"/>
        <v>0</v>
      </c>
      <c r="V19" s="71"/>
      <c r="W19" s="33" t="s">
        <v>109</v>
      </c>
      <c r="X19" s="9">
        <v>0.01</v>
      </c>
      <c r="Z19" s="61">
        <f t="shared" si="2"/>
        <v>0</v>
      </c>
    </row>
    <row r="20" spans="1:26" ht="15.75" thickBot="1" x14ac:dyDescent="0.3">
      <c r="D20" t="s">
        <v>116</v>
      </c>
      <c r="F20" s="67">
        <f>SUM(F8:F14)</f>
        <v>259</v>
      </c>
      <c r="X20" t="s">
        <v>13</v>
      </c>
      <c r="Z20" s="69">
        <f>SUM(Z8:Z19)</f>
        <v>0</v>
      </c>
    </row>
    <row r="21" spans="1:26" ht="16.5" thickTop="1" thickBot="1" x14ac:dyDescent="0.3">
      <c r="D21" t="s">
        <v>117</v>
      </c>
      <c r="F21" s="69">
        <f>SUM(F16:F19)</f>
        <v>1</v>
      </c>
    </row>
    <row r="22" spans="1:26" ht="16.5" thickTop="1" thickBot="1" x14ac:dyDescent="0.3">
      <c r="D22" t="s">
        <v>13</v>
      </c>
      <c r="F22" s="69">
        <f>SUM(F20:F21)+M18</f>
        <v>260</v>
      </c>
    </row>
    <row r="23" spans="1:26" ht="15.75" thickTop="1" x14ac:dyDescent="0.25">
      <c r="D23" s="24" t="s">
        <v>124</v>
      </c>
      <c r="F23" s="3">
        <f>SUM(S10:S22)</f>
        <v>0</v>
      </c>
    </row>
    <row r="24" spans="1:26" x14ac:dyDescent="0.25">
      <c r="D24" t="s">
        <v>128</v>
      </c>
      <c r="F24" s="9">
        <f>F22+F23+F5</f>
        <v>260</v>
      </c>
    </row>
    <row r="25" spans="1:26" x14ac:dyDescent="0.25">
      <c r="A25" t="s">
        <v>37</v>
      </c>
    </row>
    <row r="27" spans="1:26" x14ac:dyDescent="0.25">
      <c r="B27" s="64">
        <v>2</v>
      </c>
      <c r="C27" s="33" t="s">
        <v>109</v>
      </c>
      <c r="D27" s="53">
        <v>5</v>
      </c>
      <c r="E27" s="33" t="s">
        <v>110</v>
      </c>
      <c r="F27" s="54">
        <f>B27*D27-1</f>
        <v>9</v>
      </c>
      <c r="G27" t="s">
        <v>119</v>
      </c>
    </row>
    <row r="30" spans="1:26" x14ac:dyDescent="0.25">
      <c r="A30" t="s">
        <v>38</v>
      </c>
      <c r="F30" s="47">
        <v>15</v>
      </c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0"/>
  <sheetViews>
    <sheetView topLeftCell="A3" zoomScaleNormal="100" workbookViewId="0">
      <selection activeCell="S11" sqref="S11"/>
    </sheetView>
  </sheetViews>
  <sheetFormatPr defaultRowHeight="15" x14ac:dyDescent="0.25"/>
  <cols>
    <col min="1" max="1" width="8.7109375" customWidth="1"/>
    <col min="2" max="2" width="10.140625" customWidth="1"/>
    <col min="3" max="3" width="4.28515625" customWidth="1"/>
    <col min="4" max="4" width="8.7109375" customWidth="1"/>
    <col min="5" max="5" width="3.85546875" customWidth="1"/>
    <col min="6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44702</v>
      </c>
      <c r="D3" t="str">
        <f>IF(WEEKDAY(B3)=1,"Sunday",IF(WEEKDAY(B3)=2,"Monday",IF(WEEKDAY(B3)=3,"Tuesday",IF(WEEKDAY(B3)=4,"Wednesday",IF(WEEKDAY(B3)=5,"Thursday",IF(WEEKDAY(B3)=6,"Friday",IF(WEEKDAY(B3)=7,"Saturday")))))))</f>
        <v>Saturday</v>
      </c>
    </row>
    <row r="5" spans="1:19" x14ac:dyDescent="0.25">
      <c r="A5" t="s">
        <v>102</v>
      </c>
      <c r="F5" s="13">
        <v>210</v>
      </c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9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>
        <v>9</v>
      </c>
      <c r="C10" s="33" t="s">
        <v>109</v>
      </c>
      <c r="D10" s="53">
        <v>20</v>
      </c>
      <c r="E10" s="33" t="s">
        <v>110</v>
      </c>
      <c r="F10" s="54">
        <f t="shared" si="1"/>
        <v>180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Q10" t="s">
        <v>165</v>
      </c>
      <c r="S10" s="13">
        <v>1</v>
      </c>
    </row>
    <row r="11" spans="1:19" x14ac:dyDescent="0.25">
      <c r="B11" s="64">
        <v>9</v>
      </c>
      <c r="C11" s="33" t="s">
        <v>109</v>
      </c>
      <c r="D11" s="53">
        <v>10</v>
      </c>
      <c r="E11" s="33" t="s">
        <v>110</v>
      </c>
      <c r="F11" s="54">
        <f t="shared" si="1"/>
        <v>90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Q11" s="74"/>
      <c r="S11" s="13"/>
    </row>
    <row r="12" spans="1:19" x14ac:dyDescent="0.25">
      <c r="B12" s="64">
        <v>32</v>
      </c>
      <c r="C12" s="33" t="s">
        <v>109</v>
      </c>
      <c r="D12" s="53">
        <v>5</v>
      </c>
      <c r="E12" s="33" t="s">
        <v>110</v>
      </c>
      <c r="F12" s="54">
        <f t="shared" si="1"/>
        <v>160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13"/>
    </row>
    <row r="13" spans="1:19" x14ac:dyDescent="0.25">
      <c r="B13" s="64">
        <v>15</v>
      </c>
      <c r="C13" s="33" t="s">
        <v>109</v>
      </c>
      <c r="D13" s="53">
        <v>2</v>
      </c>
      <c r="E13" s="33" t="s">
        <v>110</v>
      </c>
      <c r="F13" s="54">
        <f t="shared" si="1"/>
        <v>30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106"/>
    </row>
    <row r="14" spans="1:19" x14ac:dyDescent="0.25">
      <c r="B14" s="64">
        <v>28</v>
      </c>
      <c r="C14" s="33" t="s">
        <v>109</v>
      </c>
      <c r="D14" s="53">
        <v>1</v>
      </c>
      <c r="E14" s="33" t="s">
        <v>110</v>
      </c>
      <c r="F14" s="54">
        <f t="shared" si="1"/>
        <v>28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  <c r="S14" s="106"/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</row>
    <row r="16" spans="1:19" x14ac:dyDescent="0.25">
      <c r="B16" s="64">
        <v>65</v>
      </c>
      <c r="C16" s="33" t="s">
        <v>109</v>
      </c>
      <c r="D16" s="9">
        <v>0.25</v>
      </c>
      <c r="E16" s="33" t="s">
        <v>110</v>
      </c>
      <c r="F16" s="61">
        <f t="shared" si="1"/>
        <v>16.25</v>
      </c>
      <c r="L16" s="33" t="s">
        <v>113</v>
      </c>
      <c r="M16" s="53">
        <f>SUM(M8:M14)</f>
        <v>0</v>
      </c>
    </row>
    <row r="17" spans="1:13" x14ac:dyDescent="0.25">
      <c r="B17" s="64">
        <v>22</v>
      </c>
      <c r="C17" s="33" t="s">
        <v>109</v>
      </c>
      <c r="D17" s="9">
        <v>0.1</v>
      </c>
      <c r="E17" s="33" t="s">
        <v>110</v>
      </c>
      <c r="F17" s="61">
        <f t="shared" si="1"/>
        <v>2.2000000000000002</v>
      </c>
      <c r="L17" s="33" t="s">
        <v>114</v>
      </c>
      <c r="M17" s="39">
        <v>1.2822</v>
      </c>
    </row>
    <row r="18" spans="1:13" x14ac:dyDescent="0.25">
      <c r="B18" s="64">
        <v>13</v>
      </c>
      <c r="C18" s="33" t="s">
        <v>109</v>
      </c>
      <c r="D18" s="9">
        <v>0.05</v>
      </c>
      <c r="E18" s="33" t="s">
        <v>110</v>
      </c>
      <c r="F18" s="61">
        <f t="shared" si="1"/>
        <v>0.65</v>
      </c>
      <c r="L18" t="s">
        <v>127</v>
      </c>
      <c r="M18" s="5">
        <f>ROUND(M16*M17,2)</f>
        <v>0</v>
      </c>
    </row>
    <row r="19" spans="1:13" x14ac:dyDescent="0.25">
      <c r="B19" s="64"/>
      <c r="C19" s="33" t="s">
        <v>109</v>
      </c>
      <c r="D19" s="9">
        <v>0.01</v>
      </c>
      <c r="E19" s="33" t="s">
        <v>110</v>
      </c>
      <c r="F19" s="61">
        <f t="shared" si="1"/>
        <v>0</v>
      </c>
    </row>
    <row r="20" spans="1:13" x14ac:dyDescent="0.25">
      <c r="D20" t="s">
        <v>116</v>
      </c>
      <c r="F20" s="67">
        <f>SUM(F9:F14)</f>
        <v>488</v>
      </c>
    </row>
    <row r="21" spans="1:13" x14ac:dyDescent="0.25">
      <c r="D21" t="s">
        <v>117</v>
      </c>
      <c r="F21" s="69">
        <f>SUM(F16:F19)</f>
        <v>19.099999999999998</v>
      </c>
    </row>
    <row r="22" spans="1:13" x14ac:dyDescent="0.25">
      <c r="D22" t="s">
        <v>13</v>
      </c>
      <c r="F22" s="69">
        <f>SUM(F20:F21)+M18</f>
        <v>507.1</v>
      </c>
    </row>
    <row r="23" spans="1:13" x14ac:dyDescent="0.25">
      <c r="D23" s="24" t="s">
        <v>124</v>
      </c>
      <c r="F23" s="3">
        <f>SUM(S10:S22)</f>
        <v>1</v>
      </c>
    </row>
    <row r="24" spans="1:13" x14ac:dyDescent="0.25">
      <c r="D24" t="s">
        <v>128</v>
      </c>
      <c r="F24" s="9">
        <f>F22+F23+F5</f>
        <v>718.1</v>
      </c>
    </row>
    <row r="25" spans="1:13" x14ac:dyDescent="0.25">
      <c r="A25" t="s">
        <v>37</v>
      </c>
    </row>
    <row r="27" spans="1:13" x14ac:dyDescent="0.25">
      <c r="B27" s="64">
        <v>2</v>
      </c>
      <c r="C27" s="33" t="s">
        <v>109</v>
      </c>
      <c r="D27" s="53">
        <v>5</v>
      </c>
      <c r="E27" s="33" t="s">
        <v>110</v>
      </c>
      <c r="F27" s="54">
        <f>B27*D27</f>
        <v>10</v>
      </c>
      <c r="G27" t="s">
        <v>119</v>
      </c>
    </row>
    <row r="30" spans="1:13" x14ac:dyDescent="0.25">
      <c r="A30" t="s">
        <v>38</v>
      </c>
      <c r="F30" s="73">
        <f>F5-F27</f>
        <v>200</v>
      </c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T30"/>
  <sheetViews>
    <sheetView zoomScaleNormal="100" workbookViewId="0">
      <selection activeCell="J29" sqref="J29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20" x14ac:dyDescent="0.25">
      <c r="A1" t="s">
        <v>122</v>
      </c>
    </row>
    <row r="3" spans="1:20" x14ac:dyDescent="0.25">
      <c r="A3" t="s">
        <v>123</v>
      </c>
      <c r="B3" s="45">
        <v>44703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20" x14ac:dyDescent="0.25">
      <c r="A5" t="s">
        <v>102</v>
      </c>
      <c r="F5">
        <v>100</v>
      </c>
    </row>
    <row r="6" spans="1:20" x14ac:dyDescent="0.25">
      <c r="K6" t="s">
        <v>108</v>
      </c>
    </row>
    <row r="7" spans="1:20" x14ac:dyDescent="0.25">
      <c r="A7" t="s">
        <v>103</v>
      </c>
      <c r="Q7" s="118" t="s">
        <v>124</v>
      </c>
      <c r="R7" s="118"/>
      <c r="S7" s="118"/>
    </row>
    <row r="8" spans="1:20" x14ac:dyDescent="0.25">
      <c r="B8" s="64"/>
      <c r="C8" s="33" t="s">
        <v>109</v>
      </c>
      <c r="D8" s="53">
        <v>100</v>
      </c>
      <c r="E8" s="33" t="s">
        <v>110</v>
      </c>
      <c r="F8" s="54">
        <f t="shared" ref="F8:F18" si="0">B8*D8</f>
        <v>0</v>
      </c>
      <c r="I8" s="64"/>
      <c r="J8" s="33" t="s">
        <v>109</v>
      </c>
      <c r="K8" s="53">
        <v>100</v>
      </c>
      <c r="L8" s="33"/>
      <c r="M8" s="54">
        <f t="shared" ref="M8:M14" si="1">I8*K8</f>
        <v>0</v>
      </c>
    </row>
    <row r="9" spans="1:20" x14ac:dyDescent="0.25">
      <c r="B9" s="64"/>
      <c r="C9" s="33" t="s">
        <v>109</v>
      </c>
      <c r="D9" s="53">
        <v>50</v>
      </c>
      <c r="E9" s="33" t="s">
        <v>110</v>
      </c>
      <c r="F9" s="54">
        <f t="shared" si="0"/>
        <v>0</v>
      </c>
      <c r="I9" s="64"/>
      <c r="J9" s="33" t="s">
        <v>109</v>
      </c>
      <c r="K9" s="53">
        <v>50</v>
      </c>
      <c r="L9" s="33" t="s">
        <v>110</v>
      </c>
      <c r="M9" s="54">
        <f t="shared" si="1"/>
        <v>0</v>
      </c>
      <c r="P9" s="4" t="s">
        <v>125</v>
      </c>
      <c r="Q9" s="4"/>
      <c r="R9" s="4"/>
      <c r="S9" s="4" t="s">
        <v>126</v>
      </c>
    </row>
    <row r="10" spans="1:20" x14ac:dyDescent="0.25">
      <c r="B10" s="64">
        <v>5</v>
      </c>
      <c r="C10" s="33" t="s">
        <v>109</v>
      </c>
      <c r="D10" s="53">
        <v>20</v>
      </c>
      <c r="E10" s="33" t="s">
        <v>110</v>
      </c>
      <c r="F10" s="54">
        <f t="shared" si="0"/>
        <v>100</v>
      </c>
      <c r="I10" s="64"/>
      <c r="J10" s="33" t="s">
        <v>109</v>
      </c>
      <c r="K10" s="53">
        <v>20</v>
      </c>
      <c r="L10" s="33" t="s">
        <v>110</v>
      </c>
      <c r="M10" s="54">
        <f t="shared" si="1"/>
        <v>0</v>
      </c>
      <c r="Q10" s="74"/>
      <c r="S10" s="13"/>
      <c r="T10" s="23"/>
    </row>
    <row r="11" spans="1:20" x14ac:dyDescent="0.25">
      <c r="B11" s="64">
        <v>6</v>
      </c>
      <c r="C11" s="33" t="s">
        <v>109</v>
      </c>
      <c r="D11" s="53">
        <v>10</v>
      </c>
      <c r="E11" s="33" t="s">
        <v>110</v>
      </c>
      <c r="F11" s="54">
        <f t="shared" si="0"/>
        <v>60</v>
      </c>
      <c r="I11" s="64"/>
      <c r="J11" s="33" t="s">
        <v>109</v>
      </c>
      <c r="K11" s="53">
        <v>10</v>
      </c>
      <c r="L11" s="33" t="s">
        <v>110</v>
      </c>
      <c r="M11" s="54">
        <f t="shared" si="1"/>
        <v>0</v>
      </c>
      <c r="S11" s="13"/>
    </row>
    <row r="12" spans="1:20" x14ac:dyDescent="0.25">
      <c r="B12" s="64">
        <v>10</v>
      </c>
      <c r="C12" s="33" t="s">
        <v>109</v>
      </c>
      <c r="D12" s="53">
        <v>5</v>
      </c>
      <c r="E12" s="33" t="s">
        <v>110</v>
      </c>
      <c r="F12" s="54">
        <f t="shared" si="0"/>
        <v>50</v>
      </c>
      <c r="I12" s="64"/>
      <c r="J12" s="33" t="s">
        <v>109</v>
      </c>
      <c r="K12" s="53">
        <v>5</v>
      </c>
      <c r="L12" s="33" t="s">
        <v>110</v>
      </c>
      <c r="M12" s="54">
        <f t="shared" si="1"/>
        <v>0</v>
      </c>
      <c r="S12" s="13"/>
    </row>
    <row r="13" spans="1:20" x14ac:dyDescent="0.25">
      <c r="B13" s="64">
        <v>14</v>
      </c>
      <c r="C13" s="33" t="s">
        <v>109</v>
      </c>
      <c r="D13" s="53">
        <v>2</v>
      </c>
      <c r="E13" s="33" t="s">
        <v>110</v>
      </c>
      <c r="F13" s="54">
        <f t="shared" si="0"/>
        <v>28</v>
      </c>
      <c r="I13" s="64"/>
      <c r="J13" s="33" t="s">
        <v>109</v>
      </c>
      <c r="K13" s="53">
        <v>2</v>
      </c>
      <c r="L13" s="33" t="s">
        <v>110</v>
      </c>
      <c r="M13" s="54">
        <f t="shared" si="1"/>
        <v>0</v>
      </c>
      <c r="S13" s="13"/>
    </row>
    <row r="14" spans="1:20" x14ac:dyDescent="0.25">
      <c r="B14" s="64">
        <v>8</v>
      </c>
      <c r="C14" s="33" t="s">
        <v>109</v>
      </c>
      <c r="D14" s="53">
        <v>1</v>
      </c>
      <c r="E14" s="33" t="s">
        <v>110</v>
      </c>
      <c r="F14" s="54">
        <f t="shared" si="0"/>
        <v>8</v>
      </c>
      <c r="I14" s="64"/>
      <c r="J14" s="33" t="s">
        <v>109</v>
      </c>
      <c r="K14" s="53">
        <v>1</v>
      </c>
      <c r="L14" s="33" t="s">
        <v>110</v>
      </c>
      <c r="M14" s="54">
        <f t="shared" si="1"/>
        <v>0</v>
      </c>
      <c r="S14" s="13"/>
    </row>
    <row r="15" spans="1:20" x14ac:dyDescent="0.25">
      <c r="B15" s="71"/>
      <c r="C15" s="33" t="s">
        <v>109</v>
      </c>
      <c r="D15" s="9">
        <v>0.5</v>
      </c>
      <c r="E15" s="33" t="s">
        <v>110</v>
      </c>
      <c r="F15" s="61">
        <f t="shared" si="0"/>
        <v>0</v>
      </c>
      <c r="S15" s="13"/>
    </row>
    <row r="16" spans="1:20" x14ac:dyDescent="0.25">
      <c r="B16" s="64">
        <v>26</v>
      </c>
      <c r="C16" s="33" t="s">
        <v>109</v>
      </c>
      <c r="D16" s="9">
        <v>0.25</v>
      </c>
      <c r="E16" s="33" t="s">
        <v>110</v>
      </c>
      <c r="F16" s="61">
        <f t="shared" si="0"/>
        <v>6.5</v>
      </c>
      <c r="L16" s="33" t="s">
        <v>113</v>
      </c>
      <c r="M16" s="53">
        <f>SUM(M8:M14)</f>
        <v>0</v>
      </c>
      <c r="S16" s="13"/>
    </row>
    <row r="17" spans="1:19" x14ac:dyDescent="0.25">
      <c r="B17" s="64">
        <v>16</v>
      </c>
      <c r="C17" s="33" t="s">
        <v>109</v>
      </c>
      <c r="D17" s="9">
        <v>0.1</v>
      </c>
      <c r="E17" s="33" t="s">
        <v>110</v>
      </c>
      <c r="F17" s="61">
        <f t="shared" si="0"/>
        <v>1.6</v>
      </c>
      <c r="L17" s="33" t="s">
        <v>114</v>
      </c>
      <c r="M17" s="39">
        <v>1.2302</v>
      </c>
      <c r="S17" s="13"/>
    </row>
    <row r="18" spans="1:19" ht="15.75" thickBot="1" x14ac:dyDescent="0.3">
      <c r="B18" s="64">
        <v>10</v>
      </c>
      <c r="C18" s="33" t="s">
        <v>109</v>
      </c>
      <c r="D18" s="9">
        <v>0.05</v>
      </c>
      <c r="E18" s="33" t="s">
        <v>110</v>
      </c>
      <c r="F18" s="61">
        <f t="shared" si="0"/>
        <v>0.5</v>
      </c>
      <c r="L18" t="s">
        <v>127</v>
      </c>
      <c r="M18" s="5">
        <f>ROUND(M16*M17,2)</f>
        <v>0</v>
      </c>
    </row>
    <row r="19" spans="1:19" ht="15.75" thickBot="1" x14ac:dyDescent="0.3">
      <c r="B19" s="71"/>
      <c r="C19" s="33" t="s">
        <v>109</v>
      </c>
      <c r="D19" s="9">
        <v>0.01</v>
      </c>
      <c r="E19" s="33" t="s">
        <v>110</v>
      </c>
      <c r="F19" s="61">
        <f t="shared" ref="F19" si="2">B19*D19</f>
        <v>0</v>
      </c>
    </row>
    <row r="20" spans="1:19" ht="15.75" thickBot="1" x14ac:dyDescent="0.3">
      <c r="D20" t="s">
        <v>116</v>
      </c>
      <c r="F20" s="67">
        <f>SUM(F8:F14)</f>
        <v>246</v>
      </c>
    </row>
    <row r="21" spans="1:19" x14ac:dyDescent="0.25">
      <c r="D21" t="s">
        <v>117</v>
      </c>
      <c r="F21" s="69">
        <f>SUM(F16:F19)</f>
        <v>8.6</v>
      </c>
    </row>
    <row r="22" spans="1:19" x14ac:dyDescent="0.25">
      <c r="D22" t="s">
        <v>13</v>
      </c>
      <c r="F22" s="69">
        <f>SUM(F20:F21)+M18</f>
        <v>254.6</v>
      </c>
    </row>
    <row r="23" spans="1:19" x14ac:dyDescent="0.25">
      <c r="D23" s="24" t="s">
        <v>124</v>
      </c>
      <c r="F23" s="3">
        <f>SUM(S10:S20)</f>
        <v>0</v>
      </c>
    </row>
    <row r="24" spans="1:19" x14ac:dyDescent="0.25">
      <c r="D24" t="s">
        <v>128</v>
      </c>
      <c r="F24" s="9">
        <f>F22+F23+F5</f>
        <v>354.6</v>
      </c>
    </row>
    <row r="25" spans="1:19" x14ac:dyDescent="0.25">
      <c r="A25" t="s">
        <v>37</v>
      </c>
    </row>
    <row r="27" spans="1:19" x14ac:dyDescent="0.25">
      <c r="B27" s="64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9" x14ac:dyDescent="0.25">
      <c r="A30" t="s">
        <v>38</v>
      </c>
      <c r="F30" s="54">
        <v>100</v>
      </c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0"/>
  <sheetViews>
    <sheetView zoomScaleNormal="100" workbookViewId="0">
      <selection activeCell="B19" sqref="B19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44704</v>
      </c>
      <c r="D3" t="str">
        <f>IF(WEEKDAY(B3)=1,"Sunday",IF(WEEKDAY(B3)=2,"Monday",IF(WEEKDAY(B3)=3,"Tuesday",IF(WEEKDAY(B3)=4,"Wednesday",IF(WEEKDAY(B3)=5,"Thursday",IF(WEEKDAY(B3)=6,"Friday",IF(WEEKDAY(B3)=7,"Saturday")))))))</f>
        <v>Monday</v>
      </c>
    </row>
    <row r="5" spans="1:19" x14ac:dyDescent="0.25">
      <c r="A5" t="s">
        <v>102</v>
      </c>
      <c r="F5" s="107"/>
      <c r="S5" s="3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>
        <v>1</v>
      </c>
      <c r="C9" s="33" t="s">
        <v>109</v>
      </c>
      <c r="D9" s="53">
        <v>50</v>
      </c>
      <c r="E9" s="33" t="s">
        <v>110</v>
      </c>
      <c r="F9" s="54">
        <f t="shared" ref="F9:F19" si="1">B9*D9</f>
        <v>50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>
        <v>13</v>
      </c>
      <c r="C10" s="33" t="s">
        <v>109</v>
      </c>
      <c r="D10" s="53">
        <v>20</v>
      </c>
      <c r="E10" s="33" t="s">
        <v>110</v>
      </c>
      <c r="F10" s="54">
        <f t="shared" si="1"/>
        <v>260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S10" s="13"/>
    </row>
    <row r="11" spans="1:19" x14ac:dyDescent="0.25">
      <c r="B11" s="64">
        <v>6</v>
      </c>
      <c r="C11" s="33" t="s">
        <v>109</v>
      </c>
      <c r="D11" s="53">
        <v>10</v>
      </c>
      <c r="E11" s="33" t="s">
        <v>110</v>
      </c>
      <c r="F11" s="54">
        <f t="shared" si="1"/>
        <v>60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13"/>
    </row>
    <row r="12" spans="1:19" x14ac:dyDescent="0.25">
      <c r="B12" s="64">
        <v>22</v>
      </c>
      <c r="C12" s="33" t="s">
        <v>109</v>
      </c>
      <c r="D12" s="53">
        <v>5</v>
      </c>
      <c r="E12" s="33" t="s">
        <v>110</v>
      </c>
      <c r="F12" s="54">
        <f t="shared" si="1"/>
        <v>110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13"/>
    </row>
    <row r="13" spans="1:19" x14ac:dyDescent="0.25">
      <c r="B13" s="64">
        <v>9</v>
      </c>
      <c r="C13" s="33" t="s">
        <v>109</v>
      </c>
      <c r="D13" s="53">
        <v>2</v>
      </c>
      <c r="E13" s="33" t="s">
        <v>110</v>
      </c>
      <c r="F13" s="54">
        <f t="shared" si="1"/>
        <v>18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Q13" s="75"/>
      <c r="S13" s="13"/>
    </row>
    <row r="14" spans="1:19" x14ac:dyDescent="0.25">
      <c r="B14" s="64">
        <v>22</v>
      </c>
      <c r="C14" s="33" t="s">
        <v>109</v>
      </c>
      <c r="D14" s="53">
        <v>1</v>
      </c>
      <c r="E14" s="33" t="s">
        <v>110</v>
      </c>
      <c r="F14" s="54">
        <f t="shared" si="1"/>
        <v>22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</row>
    <row r="16" spans="1:19" x14ac:dyDescent="0.25">
      <c r="B16" s="64">
        <v>42</v>
      </c>
      <c r="C16" s="33" t="s">
        <v>109</v>
      </c>
      <c r="D16" s="9">
        <v>0.25</v>
      </c>
      <c r="E16" s="33" t="s">
        <v>110</v>
      </c>
      <c r="F16" s="61">
        <f t="shared" si="1"/>
        <v>10.5</v>
      </c>
      <c r="L16" s="33" t="s">
        <v>113</v>
      </c>
      <c r="M16" s="53">
        <f>SUM(M8:M14)</f>
        <v>0</v>
      </c>
    </row>
    <row r="17" spans="1:13" x14ac:dyDescent="0.25">
      <c r="B17" s="64">
        <v>16</v>
      </c>
      <c r="C17" s="33" t="s">
        <v>109</v>
      </c>
      <c r="D17" s="9">
        <v>0.1</v>
      </c>
      <c r="E17" s="33" t="s">
        <v>110</v>
      </c>
      <c r="F17" s="61">
        <f t="shared" si="1"/>
        <v>1.6</v>
      </c>
      <c r="L17" s="33" t="s">
        <v>114</v>
      </c>
      <c r="M17" s="39"/>
    </row>
    <row r="18" spans="1:13" x14ac:dyDescent="0.25">
      <c r="B18" s="64">
        <v>9</v>
      </c>
      <c r="C18" s="33" t="s">
        <v>109</v>
      </c>
      <c r="D18" s="9">
        <v>0.05</v>
      </c>
      <c r="E18" s="33" t="s">
        <v>110</v>
      </c>
      <c r="F18" s="61">
        <f t="shared" si="1"/>
        <v>0.45</v>
      </c>
      <c r="L18" t="s">
        <v>127</v>
      </c>
      <c r="M18" s="5">
        <f>ROUND(M16*M17,2)</f>
        <v>0</v>
      </c>
    </row>
    <row r="19" spans="1:13" x14ac:dyDescent="0.25">
      <c r="B19" s="64"/>
      <c r="C19" s="33" t="s">
        <v>109</v>
      </c>
      <c r="D19" s="9">
        <v>0.01</v>
      </c>
      <c r="F19" s="61">
        <f t="shared" si="1"/>
        <v>0</v>
      </c>
    </row>
    <row r="20" spans="1:13" x14ac:dyDescent="0.25">
      <c r="D20" t="s">
        <v>116</v>
      </c>
      <c r="F20" s="67">
        <f>SUM(F9:F14)</f>
        <v>520</v>
      </c>
    </row>
    <row r="21" spans="1:13" x14ac:dyDescent="0.25">
      <c r="D21" t="s">
        <v>117</v>
      </c>
      <c r="F21" s="69">
        <f>SUM(F16:F19)</f>
        <v>12.549999999999999</v>
      </c>
    </row>
    <row r="22" spans="1:13" x14ac:dyDescent="0.25">
      <c r="D22" t="s">
        <v>13</v>
      </c>
      <c r="F22" s="69">
        <f>SUM(F20:F21)+M18</f>
        <v>532.54999999999995</v>
      </c>
    </row>
    <row r="23" spans="1:13" x14ac:dyDescent="0.25">
      <c r="D23" s="24" t="s">
        <v>124</v>
      </c>
      <c r="F23" s="3">
        <f>SUM(S10:S22)</f>
        <v>0</v>
      </c>
    </row>
    <row r="24" spans="1:13" x14ac:dyDescent="0.25">
      <c r="D24" t="s">
        <v>128</v>
      </c>
      <c r="F24" s="9">
        <f>F22+F23+F5</f>
        <v>532.54999999999995</v>
      </c>
    </row>
    <row r="25" spans="1:13" x14ac:dyDescent="0.25">
      <c r="A25" t="s">
        <v>37</v>
      </c>
    </row>
    <row r="27" spans="1:13" x14ac:dyDescent="0.25">
      <c r="B27" s="64"/>
      <c r="C27" s="33" t="s">
        <v>109</v>
      </c>
      <c r="D27" s="53">
        <v>5</v>
      </c>
      <c r="E27" s="33" t="s">
        <v>110</v>
      </c>
      <c r="F27" s="54">
        <f>B27*D27</f>
        <v>0</v>
      </c>
      <c r="G27" t="s">
        <v>119</v>
      </c>
    </row>
    <row r="30" spans="1:13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T30"/>
  <sheetViews>
    <sheetView zoomScaleNormal="100" workbookViewId="0">
      <selection activeCell="B19" sqref="B19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20" x14ac:dyDescent="0.25">
      <c r="A1" t="s">
        <v>122</v>
      </c>
    </row>
    <row r="3" spans="1:20" x14ac:dyDescent="0.25">
      <c r="A3" t="s">
        <v>123</v>
      </c>
      <c r="B3" s="45">
        <v>44709</v>
      </c>
      <c r="D3" t="str">
        <f>IF(WEEKDAY(B3)=1,"Sunday",IF(WEEKDAY(B3)=2,"Monday",IF(WEEKDAY(B3)=3,"Tuesday",IF(WEEKDAY(B3)=4,"Wednesday",IF(WEEKDAY(B3)=5,"Thursday",IF(WEEKDAY(B3)=6,"Friday",IF(WEEKDAY(B3)=7,"Saturday")))))))</f>
        <v>Saturday</v>
      </c>
    </row>
    <row r="5" spans="1:20" x14ac:dyDescent="0.25">
      <c r="A5" t="s">
        <v>102</v>
      </c>
    </row>
    <row r="6" spans="1:20" x14ac:dyDescent="0.25">
      <c r="K6" t="s">
        <v>108</v>
      </c>
    </row>
    <row r="7" spans="1:20" x14ac:dyDescent="0.25">
      <c r="A7" t="s">
        <v>103</v>
      </c>
      <c r="Q7" s="118" t="s">
        <v>124</v>
      </c>
      <c r="R7" s="118"/>
      <c r="S7" s="118"/>
    </row>
    <row r="8" spans="1:20" ht="15.75" thickBot="1" x14ac:dyDescent="0.3">
      <c r="B8" s="71"/>
      <c r="C8" s="33" t="s">
        <v>109</v>
      </c>
      <c r="D8" s="53">
        <v>100</v>
      </c>
      <c r="E8" s="33" t="s">
        <v>110</v>
      </c>
      <c r="F8" s="54">
        <f t="shared" ref="F8" si="0">B8*D8</f>
        <v>0</v>
      </c>
      <c r="I8" s="64"/>
      <c r="J8" s="33" t="s">
        <v>109</v>
      </c>
      <c r="K8" s="53">
        <v>100</v>
      </c>
      <c r="L8" s="33"/>
      <c r="M8" s="54">
        <f t="shared" ref="M8:M14" si="1">I8*K8</f>
        <v>0</v>
      </c>
    </row>
    <row r="9" spans="1:20" ht="15.75" thickBot="1" x14ac:dyDescent="0.3">
      <c r="B9" s="64">
        <v>1</v>
      </c>
      <c r="C9" s="33" t="s">
        <v>109</v>
      </c>
      <c r="D9" s="53">
        <v>50</v>
      </c>
      <c r="E9" s="33" t="s">
        <v>110</v>
      </c>
      <c r="F9" s="54">
        <f t="shared" ref="F9:F18" si="2">B9*D9</f>
        <v>50</v>
      </c>
      <c r="I9" s="64"/>
      <c r="J9" s="33" t="s">
        <v>109</v>
      </c>
      <c r="K9" s="53">
        <v>50</v>
      </c>
      <c r="L9" s="33" t="s">
        <v>110</v>
      </c>
      <c r="M9" s="54">
        <f t="shared" si="1"/>
        <v>0</v>
      </c>
      <c r="P9" s="4" t="s">
        <v>125</v>
      </c>
      <c r="Q9" s="4"/>
      <c r="R9" s="4"/>
      <c r="S9" s="4" t="s">
        <v>126</v>
      </c>
    </row>
    <row r="10" spans="1:20" x14ac:dyDescent="0.25">
      <c r="B10" s="64">
        <v>13</v>
      </c>
      <c r="C10" s="33" t="s">
        <v>109</v>
      </c>
      <c r="D10" s="53">
        <v>20</v>
      </c>
      <c r="E10" s="33" t="s">
        <v>110</v>
      </c>
      <c r="F10" s="54">
        <f t="shared" si="2"/>
        <v>260</v>
      </c>
      <c r="I10" s="64"/>
      <c r="J10" s="33" t="s">
        <v>109</v>
      </c>
      <c r="K10" s="53">
        <v>20</v>
      </c>
      <c r="L10" s="33" t="s">
        <v>110</v>
      </c>
      <c r="M10" s="54">
        <f t="shared" si="1"/>
        <v>0</v>
      </c>
      <c r="Q10" s="76"/>
      <c r="S10" s="13"/>
      <c r="T10" s="45"/>
    </row>
    <row r="11" spans="1:20" x14ac:dyDescent="0.25">
      <c r="B11" s="64">
        <v>2</v>
      </c>
      <c r="C11" s="33" t="s">
        <v>109</v>
      </c>
      <c r="D11" s="53">
        <v>10</v>
      </c>
      <c r="E11" s="33" t="s">
        <v>110</v>
      </c>
      <c r="F11" s="54">
        <f t="shared" si="2"/>
        <v>20</v>
      </c>
      <c r="I11" s="64"/>
      <c r="J11" s="33" t="s">
        <v>109</v>
      </c>
      <c r="K11" s="53">
        <v>10</v>
      </c>
      <c r="L11" s="33" t="s">
        <v>110</v>
      </c>
      <c r="M11" s="54">
        <f t="shared" si="1"/>
        <v>0</v>
      </c>
      <c r="S11" s="13"/>
    </row>
    <row r="12" spans="1:20" x14ac:dyDescent="0.25">
      <c r="B12" s="64">
        <v>5</v>
      </c>
      <c r="C12" s="33" t="s">
        <v>109</v>
      </c>
      <c r="D12" s="53">
        <v>5</v>
      </c>
      <c r="E12" s="33" t="s">
        <v>110</v>
      </c>
      <c r="F12" s="54">
        <f t="shared" si="2"/>
        <v>25</v>
      </c>
      <c r="I12" s="64"/>
      <c r="J12" s="33" t="s">
        <v>109</v>
      </c>
      <c r="K12" s="53">
        <v>5</v>
      </c>
      <c r="L12" s="33" t="s">
        <v>110</v>
      </c>
      <c r="M12" s="54">
        <f t="shared" si="1"/>
        <v>0</v>
      </c>
      <c r="S12" s="13"/>
    </row>
    <row r="13" spans="1:20" x14ac:dyDescent="0.25">
      <c r="B13" s="64">
        <v>10</v>
      </c>
      <c r="C13" s="33" t="s">
        <v>109</v>
      </c>
      <c r="D13" s="53">
        <v>2</v>
      </c>
      <c r="E13" s="33" t="s">
        <v>110</v>
      </c>
      <c r="F13" s="54">
        <f t="shared" si="2"/>
        <v>20</v>
      </c>
      <c r="I13" s="64"/>
      <c r="J13" s="33" t="s">
        <v>109</v>
      </c>
      <c r="K13" s="53">
        <v>2</v>
      </c>
      <c r="L13" s="33" t="s">
        <v>110</v>
      </c>
      <c r="M13" s="54">
        <f t="shared" si="1"/>
        <v>0</v>
      </c>
      <c r="Q13" s="76"/>
      <c r="S13" s="13"/>
    </row>
    <row r="14" spans="1:20" x14ac:dyDescent="0.25">
      <c r="B14" s="64">
        <v>7</v>
      </c>
      <c r="C14" s="33" t="s">
        <v>109</v>
      </c>
      <c r="D14" s="53">
        <v>1</v>
      </c>
      <c r="E14" s="33" t="s">
        <v>110</v>
      </c>
      <c r="F14" s="54">
        <f t="shared" si="2"/>
        <v>7</v>
      </c>
      <c r="I14" s="64"/>
      <c r="J14" s="33" t="s">
        <v>109</v>
      </c>
      <c r="K14" s="53">
        <v>1</v>
      </c>
      <c r="L14" s="33" t="s">
        <v>110</v>
      </c>
      <c r="M14" s="54">
        <f t="shared" si="1"/>
        <v>0</v>
      </c>
      <c r="S14" s="13"/>
    </row>
    <row r="15" spans="1:20" x14ac:dyDescent="0.25">
      <c r="B15" s="71"/>
      <c r="C15" s="33" t="s">
        <v>109</v>
      </c>
      <c r="D15" s="9">
        <v>0.5</v>
      </c>
      <c r="E15" s="33" t="s">
        <v>110</v>
      </c>
      <c r="F15" s="61">
        <f t="shared" si="2"/>
        <v>0</v>
      </c>
    </row>
    <row r="16" spans="1:20" x14ac:dyDescent="0.25">
      <c r="B16" s="64">
        <v>13</v>
      </c>
      <c r="C16" s="33" t="s">
        <v>109</v>
      </c>
      <c r="D16" s="9">
        <v>0.25</v>
      </c>
      <c r="E16" s="33" t="s">
        <v>110</v>
      </c>
      <c r="F16" s="61">
        <f t="shared" si="2"/>
        <v>3.25</v>
      </c>
      <c r="L16" s="33" t="s">
        <v>113</v>
      </c>
      <c r="M16" s="53">
        <f>SUM(M8:M14)</f>
        <v>0</v>
      </c>
    </row>
    <row r="17" spans="1:13" x14ac:dyDescent="0.25">
      <c r="B17" s="64">
        <v>15</v>
      </c>
      <c r="C17" s="33" t="s">
        <v>109</v>
      </c>
      <c r="D17" s="9">
        <v>0.1</v>
      </c>
      <c r="E17" s="33" t="s">
        <v>110</v>
      </c>
      <c r="F17" s="61">
        <f t="shared" si="2"/>
        <v>1.5</v>
      </c>
      <c r="L17" s="33" t="s">
        <v>114</v>
      </c>
      <c r="M17" s="39"/>
    </row>
    <row r="18" spans="1:13" ht="15.75" thickBot="1" x14ac:dyDescent="0.3">
      <c r="B18" s="64">
        <v>12</v>
      </c>
      <c r="C18" s="33" t="s">
        <v>109</v>
      </c>
      <c r="D18" s="9">
        <v>0.05</v>
      </c>
      <c r="E18" s="33" t="s">
        <v>110</v>
      </c>
      <c r="F18" s="61">
        <f t="shared" si="2"/>
        <v>0.60000000000000009</v>
      </c>
      <c r="L18" t="s">
        <v>127</v>
      </c>
      <c r="M18" s="5">
        <f>ROUND(M16*M17,2)</f>
        <v>0</v>
      </c>
    </row>
    <row r="19" spans="1:13" ht="15.75" thickBot="1" x14ac:dyDescent="0.3">
      <c r="B19" s="71"/>
      <c r="C19" s="33" t="s">
        <v>109</v>
      </c>
      <c r="D19" s="9">
        <v>0.01</v>
      </c>
      <c r="E19" s="33" t="s">
        <v>110</v>
      </c>
      <c r="F19" s="61">
        <f t="shared" ref="F19" si="3">B19*D19</f>
        <v>0</v>
      </c>
    </row>
    <row r="20" spans="1:13" ht="15.75" thickBot="1" x14ac:dyDescent="0.3">
      <c r="D20" t="s">
        <v>116</v>
      </c>
      <c r="F20" s="54">
        <f>SUM(F8:F14)</f>
        <v>382</v>
      </c>
    </row>
    <row r="21" spans="1:13" x14ac:dyDescent="0.25">
      <c r="D21" t="s">
        <v>117</v>
      </c>
      <c r="F21" s="77">
        <f>SUM(F15:F19)</f>
        <v>5.35</v>
      </c>
    </row>
    <row r="22" spans="1:13" x14ac:dyDescent="0.25">
      <c r="D22" t="s">
        <v>13</v>
      </c>
      <c r="F22" s="77">
        <f>SUM(F20:F21)+M18</f>
        <v>387.35</v>
      </c>
    </row>
    <row r="23" spans="1:13" x14ac:dyDescent="0.25">
      <c r="D23" s="24" t="s">
        <v>124</v>
      </c>
      <c r="F23" s="78">
        <f>SUM(S10:S22)</f>
        <v>0</v>
      </c>
    </row>
    <row r="24" spans="1:13" x14ac:dyDescent="0.25">
      <c r="D24" t="s">
        <v>128</v>
      </c>
      <c r="F24" s="79">
        <f>F22+F23+F5</f>
        <v>387.35</v>
      </c>
    </row>
    <row r="25" spans="1:13" x14ac:dyDescent="0.25">
      <c r="A25" t="s">
        <v>37</v>
      </c>
    </row>
    <row r="27" spans="1:13" x14ac:dyDescent="0.25">
      <c r="B27" s="64">
        <v>14</v>
      </c>
      <c r="C27" s="33" t="s">
        <v>109</v>
      </c>
      <c r="D27" s="53">
        <v>5</v>
      </c>
      <c r="E27" s="33" t="s">
        <v>110</v>
      </c>
      <c r="F27" s="54">
        <f>B27*D27</f>
        <v>70</v>
      </c>
      <c r="G27" t="s">
        <v>119</v>
      </c>
    </row>
    <row r="30" spans="1:13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30"/>
  <sheetViews>
    <sheetView topLeftCell="B5" zoomScaleNormal="100" workbookViewId="0">
      <selection activeCell="F31" sqref="F31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26" x14ac:dyDescent="0.25">
      <c r="A1" t="s">
        <v>122</v>
      </c>
    </row>
    <row r="3" spans="1:26" x14ac:dyDescent="0.25">
      <c r="A3" t="s">
        <v>123</v>
      </c>
      <c r="B3" s="45">
        <v>44710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4" spans="1:26" x14ac:dyDescent="0.25">
      <c r="B4" s="45"/>
    </row>
    <row r="5" spans="1:26" ht="15.75" thickBot="1" x14ac:dyDescent="0.3">
      <c r="A5" t="s">
        <v>102</v>
      </c>
      <c r="F5" s="54"/>
    </row>
    <row r="6" spans="1:26" x14ac:dyDescent="0.25">
      <c r="K6" t="s">
        <v>108</v>
      </c>
      <c r="V6" s="109" t="s">
        <v>152</v>
      </c>
    </row>
    <row r="7" spans="1:26" x14ac:dyDescent="0.25">
      <c r="A7" t="s">
        <v>103</v>
      </c>
      <c r="Q7" s="118" t="s">
        <v>124</v>
      </c>
      <c r="R7" s="118"/>
      <c r="S7" s="118"/>
    </row>
    <row r="8" spans="1:26" ht="15.75" thickBot="1" x14ac:dyDescent="0.3">
      <c r="I8" s="64"/>
      <c r="J8" s="33" t="s">
        <v>109</v>
      </c>
      <c r="K8" s="53">
        <v>100</v>
      </c>
      <c r="L8" s="33"/>
      <c r="M8" s="54">
        <f t="shared" ref="M8:M14" si="0">I8*K8</f>
        <v>0</v>
      </c>
      <c r="V8" s="71"/>
      <c r="W8" s="33" t="s">
        <v>109</v>
      </c>
      <c r="X8" s="53">
        <v>100</v>
      </c>
      <c r="Y8" s="33"/>
      <c r="Z8" s="54">
        <f t="shared" ref="Z8:Z19" si="1">V8*X8</f>
        <v>0</v>
      </c>
    </row>
    <row r="9" spans="1:26" ht="15.75" thickBot="1" x14ac:dyDescent="0.3">
      <c r="B9" s="64"/>
      <c r="C9" s="33" t="s">
        <v>109</v>
      </c>
      <c r="D9" s="53">
        <v>50</v>
      </c>
      <c r="E9" s="33" t="s">
        <v>110</v>
      </c>
      <c r="F9" s="54">
        <f t="shared" ref="F9:F18" si="2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  <c r="V9" s="71"/>
      <c r="W9" s="33" t="s">
        <v>109</v>
      </c>
      <c r="X9" s="53">
        <v>50</v>
      </c>
      <c r="Y9" s="33" t="s">
        <v>110</v>
      </c>
      <c r="Z9" s="54">
        <f t="shared" si="1"/>
        <v>0</v>
      </c>
    </row>
    <row r="10" spans="1:26" ht="15.75" thickBot="1" x14ac:dyDescent="0.3">
      <c r="B10" s="64">
        <v>9</v>
      </c>
      <c r="C10" s="33" t="s">
        <v>109</v>
      </c>
      <c r="D10" s="53">
        <v>20</v>
      </c>
      <c r="E10" s="33" t="s">
        <v>110</v>
      </c>
      <c r="F10" s="54">
        <f t="shared" si="2"/>
        <v>180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Q10" s="76"/>
      <c r="S10" s="13"/>
      <c r="V10" s="71"/>
      <c r="W10" s="33" t="s">
        <v>109</v>
      </c>
      <c r="X10" s="53">
        <v>20</v>
      </c>
      <c r="Y10" s="33" t="s">
        <v>110</v>
      </c>
      <c r="Z10" s="54">
        <f t="shared" si="1"/>
        <v>0</v>
      </c>
    </row>
    <row r="11" spans="1:26" ht="15.75" thickBot="1" x14ac:dyDescent="0.3">
      <c r="B11" s="64">
        <v>6</v>
      </c>
      <c r="C11" s="33" t="s">
        <v>109</v>
      </c>
      <c r="D11" s="53">
        <v>10</v>
      </c>
      <c r="E11" s="33" t="s">
        <v>110</v>
      </c>
      <c r="F11" s="54">
        <f t="shared" si="2"/>
        <v>60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13"/>
      <c r="V11" s="71"/>
      <c r="W11" s="33" t="s">
        <v>109</v>
      </c>
      <c r="X11" s="53">
        <v>10</v>
      </c>
      <c r="Y11" s="33" t="s">
        <v>110</v>
      </c>
      <c r="Z11" s="54">
        <f t="shared" si="1"/>
        <v>0</v>
      </c>
    </row>
    <row r="12" spans="1:26" ht="15.75" thickBot="1" x14ac:dyDescent="0.3">
      <c r="B12" s="64">
        <v>13</v>
      </c>
      <c r="C12" s="33" t="s">
        <v>109</v>
      </c>
      <c r="D12" s="53">
        <v>5</v>
      </c>
      <c r="E12" s="33" t="s">
        <v>110</v>
      </c>
      <c r="F12" s="54">
        <f t="shared" si="2"/>
        <v>65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13"/>
      <c r="V12" s="71"/>
      <c r="W12" s="33" t="s">
        <v>109</v>
      </c>
      <c r="X12" s="53">
        <v>5</v>
      </c>
      <c r="Y12" s="33" t="s">
        <v>110</v>
      </c>
      <c r="Z12" s="54">
        <f t="shared" si="1"/>
        <v>0</v>
      </c>
    </row>
    <row r="13" spans="1:26" ht="15.75" thickBot="1" x14ac:dyDescent="0.3">
      <c r="B13" s="64">
        <v>19</v>
      </c>
      <c r="C13" s="33" t="s">
        <v>109</v>
      </c>
      <c r="D13" s="53">
        <v>2</v>
      </c>
      <c r="E13" s="33" t="s">
        <v>110</v>
      </c>
      <c r="F13" s="54">
        <f t="shared" si="2"/>
        <v>38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Q13" s="75"/>
      <c r="S13" s="13"/>
      <c r="V13" s="71"/>
      <c r="W13" s="33" t="s">
        <v>109</v>
      </c>
      <c r="X13" s="53">
        <v>2</v>
      </c>
      <c r="Y13" s="33" t="s">
        <v>110</v>
      </c>
      <c r="Z13" s="54">
        <f t="shared" si="1"/>
        <v>0</v>
      </c>
    </row>
    <row r="14" spans="1:26" ht="15.75" thickBot="1" x14ac:dyDescent="0.3">
      <c r="B14" s="64">
        <v>15</v>
      </c>
      <c r="C14" s="33" t="s">
        <v>109</v>
      </c>
      <c r="D14" s="53">
        <v>1</v>
      </c>
      <c r="E14" s="33" t="s">
        <v>110</v>
      </c>
      <c r="F14" s="54">
        <f t="shared" si="2"/>
        <v>15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  <c r="V14" s="71"/>
      <c r="W14" s="33" t="s">
        <v>109</v>
      </c>
      <c r="X14" s="53">
        <v>1</v>
      </c>
      <c r="Y14" s="33" t="s">
        <v>110</v>
      </c>
      <c r="Z14" s="54">
        <f t="shared" si="1"/>
        <v>0</v>
      </c>
    </row>
    <row r="15" spans="1:26" ht="15.75" thickBot="1" x14ac:dyDescent="0.3">
      <c r="B15" s="71"/>
      <c r="C15" s="33" t="s">
        <v>109</v>
      </c>
      <c r="D15" s="9">
        <v>0.5</v>
      </c>
      <c r="E15" s="33" t="s">
        <v>110</v>
      </c>
      <c r="F15" s="61">
        <f t="shared" si="2"/>
        <v>0</v>
      </c>
      <c r="V15" s="71"/>
      <c r="W15" s="33" t="s">
        <v>109</v>
      </c>
      <c r="X15" s="9">
        <v>0.5</v>
      </c>
      <c r="Y15" s="33" t="s">
        <v>110</v>
      </c>
      <c r="Z15" s="61">
        <f t="shared" si="1"/>
        <v>0</v>
      </c>
    </row>
    <row r="16" spans="1:26" ht="15.75" thickBot="1" x14ac:dyDescent="0.3">
      <c r="B16" s="64">
        <v>28</v>
      </c>
      <c r="C16" s="33" t="s">
        <v>109</v>
      </c>
      <c r="D16" s="9">
        <v>0.25</v>
      </c>
      <c r="E16" s="33" t="s">
        <v>110</v>
      </c>
      <c r="F16" s="61">
        <f t="shared" si="2"/>
        <v>7</v>
      </c>
      <c r="L16" s="33" t="s">
        <v>113</v>
      </c>
      <c r="M16" s="53">
        <f>SUM(M8:M14)</f>
        <v>0</v>
      </c>
      <c r="V16" s="71"/>
      <c r="W16" s="33" t="s">
        <v>109</v>
      </c>
      <c r="X16" s="9">
        <v>0.25</v>
      </c>
      <c r="Y16" s="33" t="s">
        <v>110</v>
      </c>
      <c r="Z16" s="61">
        <f t="shared" si="1"/>
        <v>0</v>
      </c>
    </row>
    <row r="17" spans="1:26" ht="15.75" thickBot="1" x14ac:dyDescent="0.3">
      <c r="B17" s="64">
        <v>16</v>
      </c>
      <c r="C17" s="33" t="s">
        <v>109</v>
      </c>
      <c r="D17" s="9">
        <v>0.1</v>
      </c>
      <c r="E17" s="33" t="s">
        <v>110</v>
      </c>
      <c r="F17" s="61">
        <f t="shared" si="2"/>
        <v>1.6</v>
      </c>
      <c r="L17" s="33" t="s">
        <v>114</v>
      </c>
      <c r="M17" s="39">
        <v>1.2312000000000001</v>
      </c>
      <c r="V17" s="71"/>
      <c r="W17" s="33" t="s">
        <v>109</v>
      </c>
      <c r="X17" s="9">
        <v>0.1</v>
      </c>
      <c r="Y17" s="33" t="s">
        <v>110</v>
      </c>
      <c r="Z17" s="61">
        <f t="shared" si="1"/>
        <v>0</v>
      </c>
    </row>
    <row r="18" spans="1:26" ht="15.75" thickBot="1" x14ac:dyDescent="0.3">
      <c r="B18" s="64">
        <v>18</v>
      </c>
      <c r="C18" s="33" t="s">
        <v>109</v>
      </c>
      <c r="D18" s="9">
        <v>0.05</v>
      </c>
      <c r="E18" s="33" t="s">
        <v>110</v>
      </c>
      <c r="F18" s="61">
        <f t="shared" si="2"/>
        <v>0.9</v>
      </c>
      <c r="L18" t="s">
        <v>127</v>
      </c>
      <c r="M18" s="5">
        <f>ROUND(M16*M17,2)</f>
        <v>0</v>
      </c>
      <c r="V18" s="71"/>
      <c r="W18" s="33" t="s">
        <v>109</v>
      </c>
      <c r="X18" s="9">
        <v>0.05</v>
      </c>
      <c r="Y18" s="33" t="s">
        <v>110</v>
      </c>
      <c r="Z18" s="61">
        <f t="shared" si="1"/>
        <v>0</v>
      </c>
    </row>
    <row r="19" spans="1:26" ht="15.75" thickBot="1" x14ac:dyDescent="0.3">
      <c r="V19" s="71"/>
      <c r="W19" s="33" t="s">
        <v>109</v>
      </c>
      <c r="X19" s="9">
        <v>0.01</v>
      </c>
      <c r="Z19" s="61">
        <f t="shared" si="1"/>
        <v>0</v>
      </c>
    </row>
    <row r="20" spans="1:26" ht="15.75" thickBot="1" x14ac:dyDescent="0.3">
      <c r="D20" t="s">
        <v>116</v>
      </c>
      <c r="F20" s="54">
        <f>SUM(F9:F14)</f>
        <v>358</v>
      </c>
      <c r="X20" t="s">
        <v>13</v>
      </c>
      <c r="Z20" s="69">
        <f>SUM(Z8:Z19)</f>
        <v>0</v>
      </c>
    </row>
    <row r="21" spans="1:26" ht="15.75" thickBot="1" x14ac:dyDescent="0.3">
      <c r="D21" t="s">
        <v>117</v>
      </c>
      <c r="F21" s="77">
        <f>SUM(F16:F19)</f>
        <v>9.5</v>
      </c>
    </row>
    <row r="22" spans="1:26" x14ac:dyDescent="0.25">
      <c r="D22" t="s">
        <v>13</v>
      </c>
      <c r="F22" s="77">
        <f>SUM(F20:F21)+M18</f>
        <v>367.5</v>
      </c>
    </row>
    <row r="23" spans="1:26" x14ac:dyDescent="0.25">
      <c r="D23" s="24" t="s">
        <v>124</v>
      </c>
      <c r="F23" s="78">
        <f>SUM(S10:S22)</f>
        <v>0</v>
      </c>
    </row>
    <row r="24" spans="1:26" x14ac:dyDescent="0.25">
      <c r="D24" t="s">
        <v>128</v>
      </c>
      <c r="F24" s="79">
        <f>F22+F23+F5</f>
        <v>367.5</v>
      </c>
    </row>
    <row r="25" spans="1:26" x14ac:dyDescent="0.25">
      <c r="A25" t="s">
        <v>37</v>
      </c>
    </row>
    <row r="27" spans="1:26" x14ac:dyDescent="0.25">
      <c r="B27" s="64">
        <v>12</v>
      </c>
      <c r="C27" s="33" t="s">
        <v>109</v>
      </c>
      <c r="D27" s="53">
        <v>5</v>
      </c>
      <c r="E27" s="33" t="s">
        <v>110</v>
      </c>
      <c r="F27" s="54">
        <f>B27*D27</f>
        <v>60</v>
      </c>
      <c r="G27" t="s">
        <v>119</v>
      </c>
    </row>
    <row r="30" spans="1:26" x14ac:dyDescent="0.25">
      <c r="A30" t="s">
        <v>38</v>
      </c>
      <c r="F30" s="54">
        <v>10</v>
      </c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48"/>
  <sheetViews>
    <sheetView zoomScaleNormal="100" workbookViewId="0">
      <selection activeCell="J46" sqref="J46"/>
    </sheetView>
  </sheetViews>
  <sheetFormatPr defaultRowHeight="15" x14ac:dyDescent="0.25"/>
  <cols>
    <col min="1" max="5" width="8.7109375" customWidth="1"/>
    <col min="6" max="6" width="12.5703125" customWidth="1"/>
    <col min="7" max="7" width="8.7109375" customWidth="1"/>
    <col min="8" max="9" width="11.5703125" customWidth="1"/>
    <col min="10" max="10" width="13.42578125" customWidth="1"/>
    <col min="11" max="11" width="8.7109375" customWidth="1"/>
    <col min="12" max="12" width="11.5703125" customWidth="1"/>
    <col min="13" max="13" width="8.7109375" customWidth="1"/>
    <col min="14" max="14" width="13.28515625" customWidth="1"/>
    <col min="15" max="15" width="8.7109375" customWidth="1"/>
    <col min="16" max="16" width="11.5703125" customWidth="1"/>
    <col min="17" max="18" width="8.7109375" customWidth="1"/>
    <col min="19" max="19" width="11.5703125" customWidth="1"/>
    <col min="20" max="20" width="8.7109375" customWidth="1"/>
    <col min="21" max="21" width="9.42578125" customWidth="1"/>
    <col min="22" max="1025" width="8.7109375" customWidth="1"/>
  </cols>
  <sheetData>
    <row r="1" spans="1:14" ht="21" x14ac:dyDescent="0.35">
      <c r="A1" s="116" t="s">
        <v>0</v>
      </c>
      <c r="B1" s="116"/>
      <c r="C1" s="116"/>
      <c r="D1" s="116"/>
      <c r="E1" s="116"/>
      <c r="F1" s="116"/>
      <c r="G1" s="116"/>
    </row>
    <row r="2" spans="1:14" ht="21" x14ac:dyDescent="0.35">
      <c r="A2" s="116" t="s">
        <v>1</v>
      </c>
      <c r="B2" s="116"/>
      <c r="C2" s="116"/>
      <c r="D2" s="116"/>
      <c r="E2" s="116"/>
      <c r="F2" s="116"/>
      <c r="G2" s="116"/>
    </row>
    <row r="3" spans="1:14" x14ac:dyDescent="0.25">
      <c r="F3" t="s">
        <v>161</v>
      </c>
      <c r="M3">
        <f>MOD(MONTH(SUBSTITUTE(F3,"AS OF: ","")),12)</f>
        <v>5</v>
      </c>
    </row>
    <row r="4" spans="1:14" x14ac:dyDescent="0.25">
      <c r="M4">
        <f>IF(M3+11&gt;12,M3-1,M3+11)</f>
        <v>4</v>
      </c>
      <c r="N4" t="str">
        <f>CHOOSE(M4,"Jan","Feb","Mar","Apr","May","June","July","Aug","Sep","Oct","Nov","Dec")</f>
        <v>Apr</v>
      </c>
    </row>
    <row r="5" spans="1:14" ht="21" x14ac:dyDescent="0.35">
      <c r="C5" s="116" t="s">
        <v>2</v>
      </c>
      <c r="D5" s="116"/>
      <c r="E5" s="116"/>
      <c r="F5" s="116"/>
      <c r="J5" t="s">
        <v>3</v>
      </c>
    </row>
    <row r="7" spans="1:14" ht="15.75" x14ac:dyDescent="0.25">
      <c r="B7" s="1" t="s">
        <v>4</v>
      </c>
      <c r="F7" s="2">
        <f>SUM(F9:F10)</f>
        <v>36668.200000000026</v>
      </c>
      <c r="J7" s="3">
        <f>F7-'[1]Position Statement'!$F$7</f>
        <v>3104.739999999998</v>
      </c>
    </row>
    <row r="8" spans="1:14" x14ac:dyDescent="0.25">
      <c r="C8" s="4"/>
    </row>
    <row r="9" spans="1:14" x14ac:dyDescent="0.25">
      <c r="C9" t="s">
        <v>5</v>
      </c>
      <c r="F9" s="5">
        <f>Chequing!F55</f>
        <v>36668.200000000026</v>
      </c>
    </row>
    <row r="10" spans="1:14" hidden="1" x14ac:dyDescent="0.25">
      <c r="C10" t="s">
        <v>6</v>
      </c>
      <c r="F10" s="5">
        <v>0</v>
      </c>
    </row>
    <row r="12" spans="1:14" ht="15.75" hidden="1" x14ac:dyDescent="0.25">
      <c r="B12" s="1" t="s">
        <v>7</v>
      </c>
      <c r="F12" s="6">
        <f>F15+F14+F16</f>
        <v>0</v>
      </c>
      <c r="J12" s="3"/>
    </row>
    <row r="13" spans="1:14" ht="15.75" hidden="1" x14ac:dyDescent="0.25">
      <c r="B13" s="1"/>
      <c r="F13" s="7"/>
    </row>
    <row r="14" spans="1:14" ht="15.75" hidden="1" x14ac:dyDescent="0.25">
      <c r="B14" s="1"/>
      <c r="F14" s="5"/>
    </row>
    <row r="15" spans="1:14" ht="15.75" hidden="1" x14ac:dyDescent="0.25">
      <c r="B15" s="1"/>
      <c r="C15" t="s">
        <v>8</v>
      </c>
      <c r="F15" s="5">
        <v>0</v>
      </c>
    </row>
    <row r="16" spans="1:14" ht="15.75" hidden="1" x14ac:dyDescent="0.25">
      <c r="B16" s="1"/>
      <c r="C16" t="s">
        <v>9</v>
      </c>
      <c r="F16" s="5"/>
    </row>
    <row r="17" spans="2:21" ht="15.75" hidden="1" x14ac:dyDescent="0.25">
      <c r="B17" s="1"/>
      <c r="F17" s="5"/>
    </row>
    <row r="18" spans="2:21" ht="15.75" hidden="1" x14ac:dyDescent="0.25">
      <c r="B18" s="1" t="s">
        <v>10</v>
      </c>
      <c r="F18" s="2">
        <f>'Petty Cash'!D29</f>
        <v>-1.4566126083082054E-13</v>
      </c>
      <c r="J18" s="3">
        <f>F18-'[1]Position Statement'!$F$18</f>
        <v>0</v>
      </c>
    </row>
    <row r="19" spans="2:21" ht="15.75" hidden="1" x14ac:dyDescent="0.25">
      <c r="B19" s="1"/>
      <c r="F19" s="5"/>
    </row>
    <row r="20" spans="2:21" ht="15.75" x14ac:dyDescent="0.25">
      <c r="B20" s="1" t="s">
        <v>11</v>
      </c>
      <c r="F20" s="8">
        <f>'Deposit Slip (5)'!N21</f>
        <v>66.48</v>
      </c>
      <c r="J20" s="9">
        <f>F20-'[1]Position Statement'!$F$20</f>
        <v>35.100000000000009</v>
      </c>
    </row>
    <row r="21" spans="2:21" ht="15.75" x14ac:dyDescent="0.25">
      <c r="B21" s="1"/>
      <c r="C21" s="4"/>
      <c r="F21" s="5"/>
      <c r="J21" s="5"/>
    </row>
    <row r="22" spans="2:21" ht="15.75" x14ac:dyDescent="0.25">
      <c r="B22" s="1" t="s">
        <v>12</v>
      </c>
      <c r="F22" s="2">
        <f>'[2]Position Statement'!$F$22-102.9</f>
        <v>30</v>
      </c>
      <c r="J22" s="9">
        <f>F22-'[1]Position Statement'!$F$22</f>
        <v>0</v>
      </c>
    </row>
    <row r="23" spans="2:21" ht="15.75" x14ac:dyDescent="0.25">
      <c r="B23" s="1"/>
      <c r="F23" s="5"/>
    </row>
    <row r="24" spans="2:21" ht="15.75" x14ac:dyDescent="0.25">
      <c r="B24" s="1" t="s">
        <v>13</v>
      </c>
      <c r="F24" s="10">
        <f>F7+F12+F18+F20+F22</f>
        <v>36764.680000000029</v>
      </c>
      <c r="I24" s="3"/>
      <c r="J24" s="3">
        <f>F24-'[1]Position Statement'!$F$24</f>
        <v>3139.8400000000038</v>
      </c>
      <c r="O24" t="s">
        <v>14</v>
      </c>
      <c r="P24" s="9">
        <f>'[1]Position Statement'!$F$46</f>
        <v>32060.250000000025</v>
      </c>
      <c r="R24" t="s">
        <v>14</v>
      </c>
      <c r="S24" s="9">
        <f>P24</f>
        <v>32060.250000000025</v>
      </c>
    </row>
    <row r="25" spans="2:21" x14ac:dyDescent="0.25">
      <c r="O25" t="s">
        <v>15</v>
      </c>
      <c r="P25" s="9">
        <f>'Operating Statement'!D40</f>
        <v>3139.84</v>
      </c>
      <c r="R25" t="s">
        <v>16</v>
      </c>
      <c r="S25" s="9">
        <f>J7</f>
        <v>3104.739999999998</v>
      </c>
      <c r="U25" s="103">
        <f>P25-S25</f>
        <v>35.100000000002183</v>
      </c>
    </row>
    <row r="26" spans="2:21" ht="15.75" x14ac:dyDescent="0.25">
      <c r="B26" s="1" t="s">
        <v>17</v>
      </c>
      <c r="F26" s="2">
        <f>Chequing!F68</f>
        <v>100</v>
      </c>
      <c r="J26" s="9">
        <f>F26-'[1]Position Statement'!$F$26</f>
        <v>0</v>
      </c>
      <c r="O26" t="s">
        <v>18</v>
      </c>
      <c r="P26" s="9">
        <f>-J42</f>
        <v>0</v>
      </c>
      <c r="R26" t="s">
        <v>18</v>
      </c>
      <c r="S26" s="9">
        <f>-J42</f>
        <v>0</v>
      </c>
    </row>
    <row r="27" spans="2:21" ht="15.75" x14ac:dyDescent="0.25">
      <c r="B27" s="1"/>
      <c r="F27" s="5"/>
      <c r="O27" t="s">
        <v>19</v>
      </c>
      <c r="P27" s="9">
        <f>J26</f>
        <v>0</v>
      </c>
      <c r="R27" t="s">
        <v>19</v>
      </c>
      <c r="S27" s="9">
        <f>J26</f>
        <v>0</v>
      </c>
    </row>
    <row r="28" spans="2:21" ht="15.75" x14ac:dyDescent="0.25">
      <c r="B28" s="1"/>
      <c r="F28" s="5"/>
      <c r="O28" t="s">
        <v>20</v>
      </c>
      <c r="P28" s="9">
        <f>J22</f>
        <v>0</v>
      </c>
      <c r="R28" t="s">
        <v>20</v>
      </c>
      <c r="S28" s="9">
        <f>J22</f>
        <v>0</v>
      </c>
    </row>
    <row r="29" spans="2:21" ht="15.75" x14ac:dyDescent="0.25">
      <c r="B29" s="1"/>
      <c r="O29" t="s">
        <v>148</v>
      </c>
      <c r="P29" s="8">
        <f>'Petty Cash'!D4-'Petty Cash'!D29</f>
        <v>0</v>
      </c>
      <c r="R29" t="s">
        <v>21</v>
      </c>
      <c r="S29" s="8">
        <f>J20</f>
        <v>35.100000000000009</v>
      </c>
    </row>
    <row r="30" spans="2:21" ht="15.75" x14ac:dyDescent="0.25">
      <c r="B30" s="1" t="s">
        <v>22</v>
      </c>
      <c r="F30" s="11">
        <f>F24+F26</f>
        <v>36864.680000000029</v>
      </c>
      <c r="I30" s="3"/>
      <c r="J30" s="3">
        <f>F30-'[1]Position Statement'!$F$30</f>
        <v>3139.8400000000038</v>
      </c>
      <c r="L30" s="3">
        <f>J30-J42</f>
        <v>3139.8400000000038</v>
      </c>
      <c r="P30" s="9">
        <f>SUM(P24:P29)</f>
        <v>35200.090000000026</v>
      </c>
      <c r="S30" s="9">
        <f>SUM(S24:S29)</f>
        <v>35200.090000000018</v>
      </c>
      <c r="U30" s="103">
        <f>ROUND(P30-S30,2)</f>
        <v>0</v>
      </c>
    </row>
    <row r="31" spans="2:21" ht="15.75" x14ac:dyDescent="0.25">
      <c r="B31" s="1"/>
      <c r="F31" s="5"/>
    </row>
    <row r="32" spans="2:21" ht="21" x14ac:dyDescent="0.35">
      <c r="C32" s="116" t="s">
        <v>23</v>
      </c>
      <c r="D32" s="116"/>
      <c r="E32" s="116"/>
      <c r="F32" s="116"/>
    </row>
    <row r="33" spans="2:16" ht="21" x14ac:dyDescent="0.35">
      <c r="C33" s="12"/>
      <c r="D33" s="12"/>
      <c r="E33" s="12"/>
      <c r="F33" s="12"/>
    </row>
    <row r="34" spans="2:16" ht="15.75" hidden="1" x14ac:dyDescent="0.25">
      <c r="B34" s="1" t="s">
        <v>24</v>
      </c>
      <c r="F34" s="3"/>
      <c r="J34" s="3"/>
    </row>
    <row r="35" spans="2:16" ht="15.75" hidden="1" x14ac:dyDescent="0.25">
      <c r="B35" s="1" t="s">
        <v>25</v>
      </c>
      <c r="F35" s="13"/>
      <c r="J35" s="3">
        <f>F35-'[1]Position Statement'!$F$35</f>
        <v>0</v>
      </c>
    </row>
    <row r="36" spans="2:16" ht="15.75" hidden="1" x14ac:dyDescent="0.25">
      <c r="B36" s="1" t="s">
        <v>150</v>
      </c>
      <c r="F36" s="13"/>
      <c r="J36" s="3"/>
    </row>
    <row r="37" spans="2:16" ht="15.75" hidden="1" x14ac:dyDescent="0.25">
      <c r="B37" s="1" t="s">
        <v>26</v>
      </c>
      <c r="F37" s="13"/>
      <c r="J37" s="3"/>
    </row>
    <row r="38" spans="2:16" ht="15.75" x14ac:dyDescent="0.25">
      <c r="B38" s="1" t="s">
        <v>27</v>
      </c>
      <c r="F38" s="5">
        <f>Chequing!F62</f>
        <v>1664.59</v>
      </c>
      <c r="H38" t="s">
        <v>160</v>
      </c>
      <c r="J38" s="9">
        <f>F38-'[1]Position Statement'!$F$38</f>
        <v>0</v>
      </c>
    </row>
    <row r="39" spans="2:16" x14ac:dyDescent="0.25">
      <c r="C39" s="4"/>
      <c r="F39" s="5"/>
    </row>
    <row r="40" spans="2:16" hidden="1" x14ac:dyDescent="0.25">
      <c r="C40" s="4"/>
      <c r="F40" s="5"/>
    </row>
    <row r="41" spans="2:16" x14ac:dyDescent="0.25">
      <c r="C41" s="4"/>
      <c r="F41" s="5"/>
    </row>
    <row r="42" spans="2:16" ht="15.75" x14ac:dyDescent="0.25">
      <c r="B42" s="1" t="s">
        <v>28</v>
      </c>
      <c r="F42" s="14">
        <f>SUM(F34:F38)</f>
        <v>1664.59</v>
      </c>
      <c r="J42" s="3">
        <f>F42-'[1]Position Statement'!$F$42</f>
        <v>0</v>
      </c>
      <c r="L42" s="3"/>
    </row>
    <row r="43" spans="2:16" x14ac:dyDescent="0.25">
      <c r="B43" s="4"/>
      <c r="L43" s="3"/>
    </row>
    <row r="44" spans="2:16" hidden="1" x14ac:dyDescent="0.25">
      <c r="C44" s="4"/>
    </row>
    <row r="46" spans="2:16" ht="15.75" x14ac:dyDescent="0.25">
      <c r="B46" s="1" t="s">
        <v>29</v>
      </c>
      <c r="C46" s="1"/>
      <c r="D46" s="1"/>
      <c r="E46" s="1"/>
      <c r="F46" s="15">
        <f>F30-F42</f>
        <v>35200.090000000033</v>
      </c>
      <c r="H46" s="3"/>
      <c r="J46" s="5">
        <f>'[1]Position Statement'!$F$46+'Operating Statement'!D40-(F42-'[1]Position Statement'!$F$42)+Chequing!F68-[1]Chequing!$F$68+F22-'[1]Position Statement'!$F$22</f>
        <v>35200.090000000026</v>
      </c>
      <c r="K46" t="str">
        <f>IF(ROUND(F46-J46,2)=0,"Check","Error")</f>
        <v>Check</v>
      </c>
      <c r="N46" s="5">
        <f>F46-'[3]Position Statement'!$F$45</f>
        <v>35200.090000000033</v>
      </c>
      <c r="P46" s="105">
        <f>N46-'Operating Statement'!D7</f>
        <v>33053.990000000034</v>
      </c>
    </row>
    <row r="47" spans="2:16" x14ac:dyDescent="0.25">
      <c r="J47" s="3"/>
    </row>
    <row r="48" spans="2:16" x14ac:dyDescent="0.25">
      <c r="H48" s="3"/>
      <c r="J48" s="5">
        <f>F46-J46</f>
        <v>0</v>
      </c>
    </row>
  </sheetData>
  <mergeCells count="4">
    <mergeCell ref="A1:G1"/>
    <mergeCell ref="A2:G2"/>
    <mergeCell ref="C5:F5"/>
    <mergeCell ref="C32:F32"/>
  </mergeCells>
  <pageMargins left="0.23611111111111099" right="0.23611111111111099" top="0.74791666666666701" bottom="0.74791666666666701" header="0.51180555555555496" footer="0.51180555555555496"/>
  <pageSetup firstPageNumber="0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Z30"/>
  <sheetViews>
    <sheetView topLeftCell="B1" zoomScaleNormal="100" workbookViewId="0">
      <selection activeCell="V14" sqref="V14:V18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26" x14ac:dyDescent="0.25">
      <c r="A1" t="s">
        <v>122</v>
      </c>
    </row>
    <row r="3" spans="1:26" x14ac:dyDescent="0.25">
      <c r="A3" t="s">
        <v>123</v>
      </c>
      <c r="B3" s="45">
        <v>44457</v>
      </c>
      <c r="D3" t="str">
        <f>IF(WEEKDAY(B3)=1,"Sunday",IF(WEEKDAY(B3)=2,"Monday",IF(WEEKDAY(B3)=3,"Tuesday",IF(WEEKDAY(B3)=4,"Wednesday",IF(WEEKDAY(B3)=5,"Thursday",IF(WEEKDAY(B3)=6,"Friday",IF(WEEKDAY(B3)=7,"Saturday")))))))</f>
        <v>Saturday</v>
      </c>
    </row>
    <row r="5" spans="1:26" ht="15.75" thickBot="1" x14ac:dyDescent="0.3">
      <c r="A5" t="s">
        <v>102</v>
      </c>
      <c r="F5" s="54"/>
    </row>
    <row r="6" spans="1:26" x14ac:dyDescent="0.25">
      <c r="K6" t="s">
        <v>108</v>
      </c>
      <c r="V6" s="109" t="s">
        <v>152</v>
      </c>
    </row>
    <row r="7" spans="1:26" x14ac:dyDescent="0.25">
      <c r="A7" t="s">
        <v>103</v>
      </c>
      <c r="Q7" s="118" t="s">
        <v>124</v>
      </c>
      <c r="R7" s="118"/>
      <c r="S7" s="118"/>
    </row>
    <row r="8" spans="1:26" ht="15.75" thickBot="1" x14ac:dyDescent="0.3">
      <c r="I8" s="64"/>
      <c r="J8" s="33" t="s">
        <v>109</v>
      </c>
      <c r="K8" s="53">
        <v>100</v>
      </c>
      <c r="L8" s="33"/>
      <c r="M8" s="54">
        <f t="shared" ref="M8:M14" si="0">I8*K8</f>
        <v>0</v>
      </c>
      <c r="V8" s="71"/>
      <c r="W8" s="33" t="s">
        <v>109</v>
      </c>
      <c r="X8" s="53">
        <v>100</v>
      </c>
      <c r="Y8" s="33"/>
      <c r="Z8" s="54">
        <f t="shared" ref="Z8:Z19" si="1">V8*X8</f>
        <v>0</v>
      </c>
    </row>
    <row r="9" spans="1:26" ht="15.75" thickBot="1" x14ac:dyDescent="0.3">
      <c r="B9" s="64"/>
      <c r="C9" s="33" t="s">
        <v>109</v>
      </c>
      <c r="D9" s="53">
        <v>50</v>
      </c>
      <c r="E9" s="33" t="s">
        <v>110</v>
      </c>
      <c r="F9" s="54">
        <f t="shared" ref="F9:F19" si="2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  <c r="V9" s="71"/>
      <c r="W9" s="33" t="s">
        <v>109</v>
      </c>
      <c r="X9" s="53">
        <v>50</v>
      </c>
      <c r="Y9" s="33" t="s">
        <v>110</v>
      </c>
      <c r="Z9" s="54">
        <f t="shared" si="1"/>
        <v>0</v>
      </c>
    </row>
    <row r="10" spans="1:26" ht="15.75" thickBot="1" x14ac:dyDescent="0.3">
      <c r="B10" s="64"/>
      <c r="C10" s="33" t="s">
        <v>109</v>
      </c>
      <c r="D10" s="53">
        <v>20</v>
      </c>
      <c r="E10" s="33" t="s">
        <v>110</v>
      </c>
      <c r="F10" s="54">
        <f t="shared" si="2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Q10" s="76"/>
      <c r="S10" s="13"/>
      <c r="V10" s="71"/>
      <c r="W10" s="33" t="s">
        <v>109</v>
      </c>
      <c r="X10" s="53">
        <v>20</v>
      </c>
      <c r="Y10" s="33" t="s">
        <v>110</v>
      </c>
      <c r="Z10" s="54">
        <f t="shared" si="1"/>
        <v>0</v>
      </c>
    </row>
    <row r="11" spans="1:26" ht="15.75" thickBot="1" x14ac:dyDescent="0.3">
      <c r="B11" s="64"/>
      <c r="C11" s="33" t="s">
        <v>109</v>
      </c>
      <c r="D11" s="53">
        <v>10</v>
      </c>
      <c r="E11" s="33" t="s">
        <v>110</v>
      </c>
      <c r="F11" s="54">
        <f t="shared" si="2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13"/>
      <c r="V11" s="71"/>
      <c r="W11" s="33" t="s">
        <v>109</v>
      </c>
      <c r="X11" s="53">
        <v>10</v>
      </c>
      <c r="Y11" s="33" t="s">
        <v>110</v>
      </c>
      <c r="Z11" s="54">
        <f t="shared" si="1"/>
        <v>0</v>
      </c>
    </row>
    <row r="12" spans="1:26" ht="15.75" thickBot="1" x14ac:dyDescent="0.3">
      <c r="B12" s="64"/>
      <c r="C12" s="33" t="s">
        <v>109</v>
      </c>
      <c r="D12" s="53">
        <v>5</v>
      </c>
      <c r="E12" s="33" t="s">
        <v>110</v>
      </c>
      <c r="F12" s="54">
        <f t="shared" si="2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13"/>
      <c r="V12" s="71"/>
      <c r="W12" s="33" t="s">
        <v>109</v>
      </c>
      <c r="X12" s="53">
        <v>5</v>
      </c>
      <c r="Y12" s="33" t="s">
        <v>110</v>
      </c>
      <c r="Z12" s="54">
        <f t="shared" si="1"/>
        <v>0</v>
      </c>
    </row>
    <row r="13" spans="1:26" ht="15.75" thickBot="1" x14ac:dyDescent="0.3">
      <c r="B13" s="64"/>
      <c r="C13" s="33" t="s">
        <v>109</v>
      </c>
      <c r="D13" s="53">
        <v>2</v>
      </c>
      <c r="E13" s="33" t="s">
        <v>110</v>
      </c>
      <c r="F13" s="54">
        <f t="shared" si="2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106"/>
      <c r="V13" s="71"/>
      <c r="W13" s="33" t="s">
        <v>109</v>
      </c>
      <c r="X13" s="53">
        <v>2</v>
      </c>
      <c r="Y13" s="33" t="s">
        <v>110</v>
      </c>
      <c r="Z13" s="54">
        <f t="shared" si="1"/>
        <v>0</v>
      </c>
    </row>
    <row r="14" spans="1:26" ht="15.75" thickBot="1" x14ac:dyDescent="0.3">
      <c r="B14" s="64"/>
      <c r="C14" s="33" t="s">
        <v>109</v>
      </c>
      <c r="D14" s="53">
        <v>1</v>
      </c>
      <c r="E14" s="33" t="s">
        <v>110</v>
      </c>
      <c r="F14" s="54">
        <f t="shared" si="2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  <c r="V14" s="71"/>
      <c r="W14" s="33" t="s">
        <v>109</v>
      </c>
      <c r="X14" s="53">
        <v>1</v>
      </c>
      <c r="Y14" s="33" t="s">
        <v>110</v>
      </c>
      <c r="Z14" s="54">
        <f t="shared" si="1"/>
        <v>0</v>
      </c>
    </row>
    <row r="15" spans="1:26" ht="15.75" thickBot="1" x14ac:dyDescent="0.3">
      <c r="B15" s="71"/>
      <c r="C15" s="33" t="s">
        <v>109</v>
      </c>
      <c r="D15" s="9">
        <v>0.5</v>
      </c>
      <c r="E15" s="33" t="s">
        <v>110</v>
      </c>
      <c r="F15" s="61">
        <f t="shared" si="2"/>
        <v>0</v>
      </c>
      <c r="V15" s="71"/>
      <c r="W15" s="33" t="s">
        <v>109</v>
      </c>
      <c r="X15" s="9">
        <v>0.5</v>
      </c>
      <c r="Y15" s="33" t="s">
        <v>110</v>
      </c>
      <c r="Z15" s="61">
        <f t="shared" si="1"/>
        <v>0</v>
      </c>
    </row>
    <row r="16" spans="1:26" ht="15.75" thickBot="1" x14ac:dyDescent="0.3">
      <c r="B16" s="64"/>
      <c r="C16" s="33" t="s">
        <v>109</v>
      </c>
      <c r="D16" s="9">
        <v>0.25</v>
      </c>
      <c r="E16" s="33" t="s">
        <v>110</v>
      </c>
      <c r="F16" s="61">
        <f t="shared" si="2"/>
        <v>0</v>
      </c>
      <c r="L16" s="33" t="s">
        <v>113</v>
      </c>
      <c r="M16" s="53">
        <f>SUM(M8:M14)</f>
        <v>0</v>
      </c>
      <c r="V16" s="71"/>
      <c r="W16" s="33" t="s">
        <v>109</v>
      </c>
      <c r="X16" s="9">
        <v>0.25</v>
      </c>
      <c r="Y16" s="33" t="s">
        <v>110</v>
      </c>
      <c r="Z16" s="61">
        <f t="shared" si="1"/>
        <v>0</v>
      </c>
    </row>
    <row r="17" spans="1:26" ht="15.75" thickBot="1" x14ac:dyDescent="0.3">
      <c r="B17" s="64"/>
      <c r="C17" s="33" t="s">
        <v>109</v>
      </c>
      <c r="D17" s="9">
        <v>0.1</v>
      </c>
      <c r="E17" s="33" t="s">
        <v>110</v>
      </c>
      <c r="F17" s="61">
        <f t="shared" si="2"/>
        <v>0</v>
      </c>
      <c r="L17" s="33" t="s">
        <v>114</v>
      </c>
      <c r="M17" s="39">
        <v>1.2312000000000001</v>
      </c>
      <c r="V17" s="71"/>
      <c r="W17" s="33" t="s">
        <v>109</v>
      </c>
      <c r="X17" s="9">
        <v>0.1</v>
      </c>
      <c r="Y17" s="33" t="s">
        <v>110</v>
      </c>
      <c r="Z17" s="61">
        <f t="shared" si="1"/>
        <v>0</v>
      </c>
    </row>
    <row r="18" spans="1:26" ht="15.75" thickBot="1" x14ac:dyDescent="0.3">
      <c r="B18" s="64"/>
      <c r="C18" s="33" t="s">
        <v>109</v>
      </c>
      <c r="D18" s="9">
        <v>0.05</v>
      </c>
      <c r="E18" s="33" t="s">
        <v>110</v>
      </c>
      <c r="F18" s="61">
        <f t="shared" si="2"/>
        <v>0</v>
      </c>
      <c r="L18" t="s">
        <v>127</v>
      </c>
      <c r="M18" s="5">
        <f>ROUND(M16*M17,2)</f>
        <v>0</v>
      </c>
      <c r="V18" s="71"/>
      <c r="W18" s="33" t="s">
        <v>109</v>
      </c>
      <c r="X18" s="9">
        <v>0.05</v>
      </c>
      <c r="Y18" s="33" t="s">
        <v>110</v>
      </c>
      <c r="Z18" s="61">
        <f t="shared" si="1"/>
        <v>0</v>
      </c>
    </row>
    <row r="19" spans="1:26" ht="15.75" thickBot="1" x14ac:dyDescent="0.3">
      <c r="B19" s="80"/>
      <c r="C19" s="33" t="s">
        <v>109</v>
      </c>
      <c r="D19" s="9">
        <v>0.01</v>
      </c>
      <c r="F19" s="81">
        <f t="shared" si="2"/>
        <v>0</v>
      </c>
      <c r="V19" s="71"/>
      <c r="W19" s="33" t="s">
        <v>109</v>
      </c>
      <c r="X19" s="9">
        <v>0.01</v>
      </c>
      <c r="Z19" s="61">
        <f t="shared" si="1"/>
        <v>0</v>
      </c>
    </row>
    <row r="20" spans="1:26" ht="15.75" thickBot="1" x14ac:dyDescent="0.3">
      <c r="D20" t="s">
        <v>116</v>
      </c>
      <c r="F20" s="67">
        <f>SUM(F9:F14)</f>
        <v>0</v>
      </c>
      <c r="X20" t="s">
        <v>13</v>
      </c>
      <c r="Z20" s="69">
        <f>SUM(Z8:Z19)</f>
        <v>0</v>
      </c>
    </row>
    <row r="21" spans="1:26" ht="16.5" thickTop="1" thickBot="1" x14ac:dyDescent="0.3">
      <c r="D21" t="s">
        <v>117</v>
      </c>
      <c r="F21" s="69">
        <f>SUM(F16:F19)</f>
        <v>0</v>
      </c>
    </row>
    <row r="22" spans="1:26" x14ac:dyDescent="0.25">
      <c r="D22" t="s">
        <v>13</v>
      </c>
      <c r="F22" s="69">
        <f>SUM(F20:F21)+M18</f>
        <v>0</v>
      </c>
    </row>
    <row r="23" spans="1:26" x14ac:dyDescent="0.25">
      <c r="D23" s="24" t="s">
        <v>124</v>
      </c>
      <c r="F23" s="78">
        <f>SUM(S10:S22)</f>
        <v>0</v>
      </c>
    </row>
    <row r="24" spans="1:26" x14ac:dyDescent="0.25">
      <c r="D24" t="s">
        <v>128</v>
      </c>
      <c r="F24" s="79">
        <f>F22+F23+F5</f>
        <v>0</v>
      </c>
    </row>
    <row r="25" spans="1:26" x14ac:dyDescent="0.25">
      <c r="A25" t="s">
        <v>37</v>
      </c>
    </row>
    <row r="27" spans="1:26" x14ac:dyDescent="0.25">
      <c r="B27" s="64"/>
      <c r="C27" s="33" t="s">
        <v>109</v>
      </c>
      <c r="D27" s="53">
        <v>5</v>
      </c>
      <c r="E27" s="33" t="s">
        <v>110</v>
      </c>
      <c r="F27" s="54">
        <f>B27*D27</f>
        <v>0</v>
      </c>
      <c r="G27" t="s">
        <v>119</v>
      </c>
    </row>
    <row r="30" spans="1:26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S30"/>
  <sheetViews>
    <sheetView zoomScaleNormal="100" workbookViewId="0">
      <selection activeCell="Q10" sqref="Q10:S10"/>
    </sheetView>
  </sheetViews>
  <sheetFormatPr defaultRowHeight="15" x14ac:dyDescent="0.25"/>
  <cols>
    <col min="1" max="1" width="8.7109375" customWidth="1"/>
    <col min="2" max="2" width="9.8554687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44458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9" x14ac:dyDescent="0.25">
      <c r="A5" t="s">
        <v>102</v>
      </c>
      <c r="F5" s="61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ht="15.75" thickBot="1" x14ac:dyDescent="0.3">
      <c r="B8" s="71"/>
      <c r="C8" s="33" t="s">
        <v>109</v>
      </c>
      <c r="D8" s="53">
        <v>100</v>
      </c>
      <c r="E8" s="33" t="s">
        <v>110</v>
      </c>
      <c r="F8" s="54">
        <f t="shared" ref="F8" si="0">B8*D8</f>
        <v>0</v>
      </c>
      <c r="I8" s="64"/>
      <c r="J8" s="33" t="s">
        <v>109</v>
      </c>
      <c r="K8" s="53">
        <v>100</v>
      </c>
      <c r="L8" s="33"/>
      <c r="M8" s="54">
        <f t="shared" ref="M8:M14" si="1">I8*K8</f>
        <v>0</v>
      </c>
    </row>
    <row r="9" spans="1:19" ht="15.75" thickBot="1" x14ac:dyDescent="0.3">
      <c r="B9" s="64"/>
      <c r="C9" s="33" t="s">
        <v>109</v>
      </c>
      <c r="D9" s="53">
        <v>50</v>
      </c>
      <c r="E9" s="33" t="s">
        <v>110</v>
      </c>
      <c r="F9" s="54">
        <f t="shared" ref="F9:F18" si="2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1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2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1"/>
        <v>0</v>
      </c>
      <c r="S10" s="13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2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1"/>
        <v>0</v>
      </c>
      <c r="S11" s="13"/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2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1"/>
        <v>0</v>
      </c>
      <c r="S12" s="13"/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2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1"/>
        <v>0</v>
      </c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2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1"/>
        <v>0</v>
      </c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2"/>
        <v>0</v>
      </c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2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0.1</v>
      </c>
      <c r="E17" s="33" t="s">
        <v>110</v>
      </c>
      <c r="F17" s="61">
        <f t="shared" si="2"/>
        <v>0</v>
      </c>
      <c r="I17" s="13"/>
      <c r="L17" s="33" t="s">
        <v>114</v>
      </c>
      <c r="M17" s="39">
        <f>'Deposit Slip (3)'!T17</f>
        <v>1.2765333333333333</v>
      </c>
    </row>
    <row r="18" spans="1:13" x14ac:dyDescent="0.25">
      <c r="B18" s="64"/>
      <c r="C18" s="33" t="s">
        <v>109</v>
      </c>
      <c r="D18" s="9">
        <v>0.05</v>
      </c>
      <c r="E18" s="33" t="s">
        <v>110</v>
      </c>
      <c r="F18" s="61">
        <f t="shared" si="2"/>
        <v>0</v>
      </c>
      <c r="I18" s="37"/>
      <c r="L18" t="s">
        <v>127</v>
      </c>
      <c r="M18" s="5">
        <f>ROUND(M16*M17,2)</f>
        <v>0</v>
      </c>
    </row>
    <row r="20" spans="1:13" x14ac:dyDescent="0.25">
      <c r="D20" t="s">
        <v>116</v>
      </c>
      <c r="F20" s="67">
        <f>SUM(F8:F14)</f>
        <v>0</v>
      </c>
    </row>
    <row r="21" spans="1:13" x14ac:dyDescent="0.25">
      <c r="D21" t="s">
        <v>117</v>
      </c>
      <c r="F21" s="69">
        <f>SUM(F16:F19)</f>
        <v>0</v>
      </c>
    </row>
    <row r="22" spans="1:13" x14ac:dyDescent="0.25">
      <c r="D22" t="s">
        <v>13</v>
      </c>
      <c r="F22" s="69">
        <f>SUM(F20:F21)+M18</f>
        <v>0</v>
      </c>
    </row>
    <row r="23" spans="1:13" x14ac:dyDescent="0.25">
      <c r="D23" s="24" t="s">
        <v>124</v>
      </c>
      <c r="F23" s="78">
        <f>SUM(S10:S22)</f>
        <v>0</v>
      </c>
    </row>
    <row r="24" spans="1:13" x14ac:dyDescent="0.25">
      <c r="D24" t="s">
        <v>128</v>
      </c>
      <c r="F24" s="79">
        <f>F22+F23+F5</f>
        <v>0</v>
      </c>
    </row>
    <row r="25" spans="1:13" x14ac:dyDescent="0.25">
      <c r="A25" t="s">
        <v>37</v>
      </c>
    </row>
    <row r="27" spans="1:13" x14ac:dyDescent="0.25">
      <c r="B27" s="64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3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S30"/>
  <sheetViews>
    <sheetView zoomScaleNormal="100" workbookViewId="0">
      <selection activeCell="Q10" sqref="Q10:S11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44464</v>
      </c>
      <c r="D3" t="str">
        <f>IF(WEEKDAY(B3)=1,"Sunday",IF(WEEKDAY(B3)=2,"Monday",IF(WEEKDAY(B3)=3,"Tuesday",IF(WEEKDAY(B3)=4,"Wednesday",IF(WEEKDAY(B3)=5,"Thursday",IF(WEEKDAY(B3)=6,"Friday",IF(WEEKDAY(B3)=7,"Saturday")))))))</f>
        <v>Saturday</v>
      </c>
    </row>
    <row r="5" spans="1:19" x14ac:dyDescent="0.25">
      <c r="A5" t="s">
        <v>102</v>
      </c>
      <c r="F5" s="13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B8" s="64"/>
      <c r="C8" s="33" t="s">
        <v>109</v>
      </c>
      <c r="D8" s="53">
        <v>100</v>
      </c>
      <c r="E8" s="33" t="s">
        <v>110</v>
      </c>
      <c r="F8" s="54">
        <f t="shared" ref="F8:F19" si="0">B8*D8</f>
        <v>0</v>
      </c>
      <c r="I8" s="64"/>
      <c r="J8" s="33" t="s">
        <v>109</v>
      </c>
      <c r="K8" s="53">
        <v>100</v>
      </c>
      <c r="L8" s="33"/>
      <c r="M8" s="54">
        <f t="shared" ref="M8:M14" si="1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si="0"/>
        <v>0</v>
      </c>
      <c r="I9" s="64"/>
      <c r="J9" s="33" t="s">
        <v>109</v>
      </c>
      <c r="K9" s="53">
        <v>50</v>
      </c>
      <c r="L9" s="33" t="s">
        <v>110</v>
      </c>
      <c r="M9" s="54">
        <f t="shared" si="1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0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1"/>
        <v>0</v>
      </c>
      <c r="Q10" s="76"/>
      <c r="S10" s="13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0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1"/>
        <v>0</v>
      </c>
      <c r="S11" s="13"/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0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1"/>
        <v>0</v>
      </c>
      <c r="S12" s="13"/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0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1"/>
        <v>0</v>
      </c>
      <c r="Q13" s="74"/>
      <c r="S13" s="13"/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0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1"/>
        <v>0</v>
      </c>
      <c r="S14" s="13"/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0"/>
        <v>0</v>
      </c>
      <c r="S15" s="13"/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0"/>
        <v>0</v>
      </c>
      <c r="L16" s="33" t="s">
        <v>113</v>
      </c>
      <c r="M16" s="53">
        <f>SUM(M8:M14)</f>
        <v>0</v>
      </c>
      <c r="S16" s="13"/>
    </row>
    <row r="17" spans="1:19" x14ac:dyDescent="0.25">
      <c r="B17" s="64"/>
      <c r="C17" s="33" t="s">
        <v>109</v>
      </c>
      <c r="D17" s="9">
        <v>0.1</v>
      </c>
      <c r="E17" s="33" t="s">
        <v>110</v>
      </c>
      <c r="F17" s="61">
        <f t="shared" si="0"/>
        <v>0</v>
      </c>
      <c r="L17" s="33" t="s">
        <v>114</v>
      </c>
      <c r="M17" s="39">
        <f>'Deposit Slip'!T17</f>
        <v>1.27</v>
      </c>
      <c r="S17" s="13"/>
    </row>
    <row r="18" spans="1:19" x14ac:dyDescent="0.25">
      <c r="B18" s="64"/>
      <c r="C18" s="33" t="s">
        <v>109</v>
      </c>
      <c r="D18" s="9">
        <v>0.05</v>
      </c>
      <c r="E18" s="33" t="s">
        <v>110</v>
      </c>
      <c r="F18" s="61">
        <f t="shared" si="0"/>
        <v>0</v>
      </c>
      <c r="L18" t="s">
        <v>127</v>
      </c>
      <c r="M18" s="5">
        <f>ROUND(M16*M17,2)</f>
        <v>0</v>
      </c>
    </row>
    <row r="19" spans="1:19" x14ac:dyDescent="0.25">
      <c r="B19" s="64"/>
      <c r="C19" s="33" t="s">
        <v>109</v>
      </c>
      <c r="D19" s="9">
        <v>0.01</v>
      </c>
      <c r="E19" s="33" t="s">
        <v>110</v>
      </c>
      <c r="F19" s="61">
        <f t="shared" si="0"/>
        <v>0</v>
      </c>
    </row>
    <row r="20" spans="1:19" x14ac:dyDescent="0.25">
      <c r="D20" t="s">
        <v>116</v>
      </c>
      <c r="F20" s="67">
        <f>SUM(F8:F14)</f>
        <v>0</v>
      </c>
    </row>
    <row r="21" spans="1:19" x14ac:dyDescent="0.25">
      <c r="D21" t="s">
        <v>117</v>
      </c>
      <c r="F21" s="69">
        <f>SUM(F15:F19)</f>
        <v>0</v>
      </c>
    </row>
    <row r="22" spans="1:19" x14ac:dyDescent="0.25">
      <c r="D22" t="s">
        <v>13</v>
      </c>
      <c r="F22" s="69">
        <f>SUM(F20:F21)+M18+F5</f>
        <v>0</v>
      </c>
    </row>
    <row r="23" spans="1:19" x14ac:dyDescent="0.25">
      <c r="D23" s="24" t="s">
        <v>124</v>
      </c>
      <c r="F23" s="78">
        <f>SUM(S10:S22)</f>
        <v>0</v>
      </c>
    </row>
    <row r="24" spans="1:19" x14ac:dyDescent="0.25">
      <c r="D24" t="s">
        <v>128</v>
      </c>
      <c r="F24" s="79">
        <f>F22+F23+F5</f>
        <v>0</v>
      </c>
    </row>
    <row r="25" spans="1:19" x14ac:dyDescent="0.25">
      <c r="A25" t="s">
        <v>37</v>
      </c>
    </row>
    <row r="27" spans="1:19" x14ac:dyDescent="0.25">
      <c r="B27" s="64"/>
      <c r="C27" s="33" t="s">
        <v>109</v>
      </c>
      <c r="D27" s="53">
        <v>5</v>
      </c>
      <c r="E27" s="33" t="s">
        <v>110</v>
      </c>
      <c r="F27" s="54">
        <f>B27*D27</f>
        <v>0</v>
      </c>
      <c r="G27" t="s">
        <v>119</v>
      </c>
    </row>
    <row r="30" spans="1:19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30"/>
  <sheetViews>
    <sheetView zoomScaleNormal="100" workbookViewId="0">
      <selection activeCell="Q10" sqref="Q10:S13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44465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9" x14ac:dyDescent="0.25">
      <c r="A5" t="s">
        <v>102</v>
      </c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9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Q10" s="76"/>
      <c r="S10" s="13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13"/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13"/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13"/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  <c r="S14" s="13"/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  <c r="S15" s="13"/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  <c r="S16" s="13"/>
    </row>
    <row r="17" spans="1:19" x14ac:dyDescent="0.25">
      <c r="B17" s="64"/>
      <c r="C17" s="33" t="s">
        <v>109</v>
      </c>
      <c r="D17" s="9">
        <v>0.1</v>
      </c>
      <c r="E17" s="33" t="s">
        <v>110</v>
      </c>
      <c r="F17" s="61">
        <f t="shared" si="1"/>
        <v>0</v>
      </c>
      <c r="L17" s="33" t="s">
        <v>114</v>
      </c>
      <c r="M17" s="39"/>
      <c r="S17" s="13"/>
    </row>
    <row r="18" spans="1:19" x14ac:dyDescent="0.25">
      <c r="B18" s="64"/>
      <c r="C18" s="33" t="s">
        <v>109</v>
      </c>
      <c r="D18" s="9">
        <v>0.05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  <c r="S18" s="13"/>
    </row>
    <row r="19" spans="1:19" x14ac:dyDescent="0.25">
      <c r="B19" s="102"/>
      <c r="C19" s="33" t="s">
        <v>109</v>
      </c>
      <c r="D19" s="9">
        <v>0.01</v>
      </c>
      <c r="F19" s="81">
        <f t="shared" si="1"/>
        <v>0</v>
      </c>
    </row>
    <row r="20" spans="1:19" x14ac:dyDescent="0.25">
      <c r="D20" t="s">
        <v>116</v>
      </c>
      <c r="F20" s="67">
        <f>SUM(F9:F14)</f>
        <v>0</v>
      </c>
    </row>
    <row r="21" spans="1:19" x14ac:dyDescent="0.25">
      <c r="D21" t="s">
        <v>117</v>
      </c>
      <c r="F21" s="69">
        <f>SUM(F15:F19)</f>
        <v>0</v>
      </c>
    </row>
    <row r="22" spans="1:19" x14ac:dyDescent="0.25">
      <c r="D22" t="s">
        <v>13</v>
      </c>
      <c r="F22" s="69">
        <f>SUM(F20:F21)+M18</f>
        <v>0</v>
      </c>
    </row>
    <row r="23" spans="1:19" x14ac:dyDescent="0.25">
      <c r="D23" s="24" t="s">
        <v>124</v>
      </c>
      <c r="F23" s="78">
        <f>SUM(S10:S22)</f>
        <v>0</v>
      </c>
    </row>
    <row r="24" spans="1:19" x14ac:dyDescent="0.25">
      <c r="D24" t="s">
        <v>128</v>
      </c>
      <c r="F24" s="79">
        <f>F22+F23+F5</f>
        <v>0</v>
      </c>
    </row>
    <row r="25" spans="1:19" x14ac:dyDescent="0.25">
      <c r="A25" t="s">
        <v>37</v>
      </c>
    </row>
    <row r="27" spans="1:19" x14ac:dyDescent="0.25">
      <c r="B27" s="64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9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30"/>
  <sheetViews>
    <sheetView zoomScaleNormal="100" workbookViewId="0">
      <selection activeCell="Q10" sqref="Q10:S13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44429</v>
      </c>
      <c r="D3" t="str">
        <f>IF(WEEKDAY(B3)=1,"Sunday",IF(WEEKDAY(B3)=2,"Monday",IF(WEEKDAY(B3)=3,"Tuesday",IF(WEEKDAY(B3)=4,"Wednesday",IF(WEEKDAY(B3)=5,"Thursday",IF(WEEKDAY(B3)=6,"Friday",IF(WEEKDAY(B3)=7,"Saturday")))))))</f>
        <v>Saturday</v>
      </c>
    </row>
    <row r="5" spans="1:19" x14ac:dyDescent="0.25">
      <c r="A5" t="s">
        <v>102</v>
      </c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8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S10" s="13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13"/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13"/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13"/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  <c r="S14" s="13"/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  <c r="S15" s="13"/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  <c r="S16" s="13"/>
    </row>
    <row r="17" spans="1:13" x14ac:dyDescent="0.25">
      <c r="B17" s="64"/>
      <c r="C17" s="33" t="s">
        <v>109</v>
      </c>
      <c r="D17" s="9">
        <v>0.1</v>
      </c>
      <c r="E17" s="33" t="s">
        <v>110</v>
      </c>
      <c r="F17" s="61">
        <f t="shared" si="1"/>
        <v>0</v>
      </c>
      <c r="L17" s="33" t="s">
        <v>114</v>
      </c>
      <c r="M17" s="39">
        <f>'Deposit Slip (5)'!T17</f>
        <v>1.2602500000000001</v>
      </c>
    </row>
    <row r="18" spans="1:13" ht="15.75" thickBot="1" x14ac:dyDescent="0.3">
      <c r="B18" s="64"/>
      <c r="C18" s="33" t="s">
        <v>109</v>
      </c>
      <c r="D18" s="9">
        <v>0.05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</row>
    <row r="19" spans="1:13" ht="15.75" thickBot="1" x14ac:dyDescent="0.3">
      <c r="B19" s="71"/>
      <c r="C19" s="33" t="s">
        <v>109</v>
      </c>
      <c r="D19" s="9">
        <v>0.01</v>
      </c>
      <c r="E19" s="33" t="s">
        <v>110</v>
      </c>
      <c r="F19" s="61">
        <f t="shared" ref="F19" si="2">B19*D19</f>
        <v>0</v>
      </c>
    </row>
    <row r="20" spans="1:13" ht="15.75" thickBot="1" x14ac:dyDescent="0.3">
      <c r="D20" t="s">
        <v>116</v>
      </c>
      <c r="F20" s="67">
        <f>SUM(F9:F14)</f>
        <v>0</v>
      </c>
    </row>
    <row r="21" spans="1:13" x14ac:dyDescent="0.25">
      <c r="D21" t="s">
        <v>117</v>
      </c>
      <c r="F21" s="69">
        <f>SUM(F16:F19)</f>
        <v>0</v>
      </c>
    </row>
    <row r="22" spans="1:13" x14ac:dyDescent="0.25">
      <c r="D22" t="s">
        <v>13</v>
      </c>
      <c r="F22" s="69">
        <f>SUM(F20:F21)+M18</f>
        <v>0</v>
      </c>
    </row>
    <row r="23" spans="1:13" x14ac:dyDescent="0.25">
      <c r="D23" s="24" t="s">
        <v>124</v>
      </c>
      <c r="F23" s="78">
        <f>SUM(S10:S22)</f>
        <v>0</v>
      </c>
    </row>
    <row r="24" spans="1:13" x14ac:dyDescent="0.25">
      <c r="D24" t="s">
        <v>128</v>
      </c>
      <c r="F24" s="79">
        <f>F22+F23+F5</f>
        <v>0</v>
      </c>
    </row>
    <row r="25" spans="1:13" x14ac:dyDescent="0.25">
      <c r="A25" t="s">
        <v>37</v>
      </c>
    </row>
    <row r="27" spans="1:13" x14ac:dyDescent="0.25">
      <c r="B27" s="64"/>
      <c r="C27" s="33" t="s">
        <v>109</v>
      </c>
      <c r="D27" s="53">
        <v>5</v>
      </c>
      <c r="E27" s="33" t="s">
        <v>110</v>
      </c>
      <c r="F27" s="54">
        <f>B27*D27</f>
        <v>0</v>
      </c>
      <c r="G27" t="s">
        <v>119</v>
      </c>
    </row>
    <row r="30" spans="1:13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S30"/>
  <sheetViews>
    <sheetView zoomScaleNormal="100" workbookViewId="0">
      <selection activeCell="Q10" sqref="Q10:S10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44430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9" x14ac:dyDescent="0.25">
      <c r="A5" t="s">
        <v>102</v>
      </c>
      <c r="F5" s="64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9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S10" s="13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13"/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13"/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13"/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0.1</v>
      </c>
      <c r="E17" s="33" t="s">
        <v>110</v>
      </c>
      <c r="F17" s="61">
        <f t="shared" si="1"/>
        <v>0</v>
      </c>
      <c r="L17" s="33" t="s">
        <v>114</v>
      </c>
      <c r="M17" s="39"/>
    </row>
    <row r="18" spans="1:13" ht="15.75" thickBot="1" x14ac:dyDescent="0.3">
      <c r="B18" s="64"/>
      <c r="C18" s="33" t="s">
        <v>109</v>
      </c>
      <c r="D18" s="9">
        <v>0.05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</row>
    <row r="19" spans="1:13" ht="15.75" thickBot="1" x14ac:dyDescent="0.3">
      <c r="B19" s="71"/>
      <c r="C19" s="33" t="s">
        <v>109</v>
      </c>
      <c r="D19" s="9">
        <v>0.01</v>
      </c>
      <c r="E19" s="33" t="s">
        <v>110</v>
      </c>
      <c r="F19" s="61">
        <f t="shared" si="1"/>
        <v>0</v>
      </c>
    </row>
    <row r="20" spans="1:13" ht="15.75" thickBot="1" x14ac:dyDescent="0.3">
      <c r="D20" t="s">
        <v>116</v>
      </c>
      <c r="F20" s="67">
        <f>SUM(F9:F14)</f>
        <v>0</v>
      </c>
    </row>
    <row r="21" spans="1:13" x14ac:dyDescent="0.25">
      <c r="D21" t="s">
        <v>117</v>
      </c>
      <c r="F21" s="69">
        <f>SUM(F16:F19)</f>
        <v>0</v>
      </c>
    </row>
    <row r="22" spans="1:13" x14ac:dyDescent="0.25">
      <c r="D22" t="s">
        <v>13</v>
      </c>
      <c r="F22" s="69">
        <f>SUM(F20:F21)+M18</f>
        <v>0</v>
      </c>
    </row>
    <row r="23" spans="1:13" x14ac:dyDescent="0.25">
      <c r="D23" s="24" t="s">
        <v>124</v>
      </c>
      <c r="F23" s="78">
        <f>SUM(S10:S22)</f>
        <v>0</v>
      </c>
    </row>
    <row r="24" spans="1:13" x14ac:dyDescent="0.25">
      <c r="D24" t="s">
        <v>128</v>
      </c>
      <c r="F24" s="79">
        <f>F22+F23+F5</f>
        <v>0</v>
      </c>
    </row>
    <row r="25" spans="1:13" x14ac:dyDescent="0.25">
      <c r="A25" t="s">
        <v>37</v>
      </c>
    </row>
    <row r="27" spans="1:13" x14ac:dyDescent="0.25">
      <c r="B27" s="64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3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S30"/>
  <sheetViews>
    <sheetView zoomScaleNormal="100" workbookViewId="0">
      <selection activeCell="B11" sqref="B11:B16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44435</v>
      </c>
      <c r="D3" t="str">
        <f>IF(WEEKDAY(B3)=1,"Sunday",IF(WEEKDAY(B3)=2,"Monday",IF(WEEKDAY(B3)=3,"Tuesday",IF(WEEKDAY(B3)=4,"Wednesday",IF(WEEKDAY(B3)=5,"Thursday",IF(WEEKDAY(B3)=6,"Friday",IF(WEEKDAY(B3)=7,"Saturday")))))))</f>
        <v>Friday</v>
      </c>
    </row>
    <row r="5" spans="1:19" x14ac:dyDescent="0.25">
      <c r="A5" t="s">
        <v>102</v>
      </c>
      <c r="F5" s="47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9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S10" s="13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0.1</v>
      </c>
      <c r="E17" s="33" t="s">
        <v>110</v>
      </c>
      <c r="F17" s="61">
        <f t="shared" si="1"/>
        <v>0</v>
      </c>
      <c r="L17" s="33" t="s">
        <v>114</v>
      </c>
      <c r="M17" s="39"/>
    </row>
    <row r="18" spans="1:13" x14ac:dyDescent="0.25">
      <c r="B18" s="64"/>
      <c r="C18" s="33" t="s">
        <v>109</v>
      </c>
      <c r="D18" s="9">
        <v>0.05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</row>
    <row r="19" spans="1:13" x14ac:dyDescent="0.25">
      <c r="B19" s="80"/>
      <c r="C19" s="33" t="s">
        <v>109</v>
      </c>
      <c r="D19" s="9">
        <v>0.01</v>
      </c>
      <c r="F19" s="81">
        <f t="shared" si="1"/>
        <v>0</v>
      </c>
    </row>
    <row r="20" spans="1:13" x14ac:dyDescent="0.25">
      <c r="D20" t="s">
        <v>116</v>
      </c>
      <c r="F20" s="67">
        <f>SUM(F9:F14)</f>
        <v>0</v>
      </c>
    </row>
    <row r="21" spans="1:13" x14ac:dyDescent="0.25">
      <c r="D21" t="s">
        <v>117</v>
      </c>
      <c r="F21" s="69">
        <f>SUM(F16:F19)</f>
        <v>0</v>
      </c>
    </row>
    <row r="22" spans="1:13" x14ac:dyDescent="0.25">
      <c r="D22" t="s">
        <v>13</v>
      </c>
      <c r="F22" s="69">
        <f>SUM(F20:F21)+M18+F5</f>
        <v>0</v>
      </c>
    </row>
    <row r="23" spans="1:13" x14ac:dyDescent="0.25">
      <c r="D23" s="24" t="s">
        <v>124</v>
      </c>
      <c r="F23" s="78">
        <f>SUM(S10:S22)</f>
        <v>0</v>
      </c>
    </row>
    <row r="24" spans="1:13" x14ac:dyDescent="0.25">
      <c r="D24" t="s">
        <v>128</v>
      </c>
      <c r="F24" s="79">
        <f>F22+F23+F5</f>
        <v>0</v>
      </c>
    </row>
    <row r="25" spans="1:13" x14ac:dyDescent="0.25">
      <c r="A25" t="s">
        <v>37</v>
      </c>
    </row>
    <row r="27" spans="1:13" x14ac:dyDescent="0.25">
      <c r="B27" s="64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3" x14ac:dyDescent="0.25">
      <c r="A30" t="s">
        <v>38</v>
      </c>
      <c r="F30" s="73">
        <f>F5</f>
        <v>0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S30"/>
  <sheetViews>
    <sheetView zoomScaleNormal="100" workbookViewId="0">
      <selection activeCell="Q10" sqref="Q10:S13"/>
    </sheetView>
  </sheetViews>
  <sheetFormatPr defaultRowHeight="15" x14ac:dyDescent="0.25"/>
  <cols>
    <col min="1" max="1" width="8.7109375" customWidth="1"/>
    <col min="2" max="2" width="10.140625" customWidth="1"/>
    <col min="3" max="5" width="8.7109375" customWidth="1"/>
    <col min="6" max="6" width="11.5703125" customWidth="1"/>
    <col min="7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44436</v>
      </c>
      <c r="D3" t="str">
        <f>IF(WEEKDAY(B3)=1,"Sunday",IF(WEEKDAY(B3)=2,"Monday",IF(WEEKDAY(B3)=3,"Tuesday",IF(WEEKDAY(B3)=4,"Wednesday",IF(WEEKDAY(B3)=5,"Thursday",IF(WEEKDAY(B3)=6,"Friday",IF(WEEKDAY(B3)=7,"Saturday")))))))</f>
        <v>Saturday</v>
      </c>
    </row>
    <row r="5" spans="1:19" x14ac:dyDescent="0.25">
      <c r="A5" t="s">
        <v>102</v>
      </c>
      <c r="F5" s="47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8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S10" s="9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9"/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9"/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9"/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  <c r="S14" s="9"/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  <c r="S15" s="9"/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  <c r="S16" s="9"/>
    </row>
    <row r="17" spans="1:19" x14ac:dyDescent="0.25">
      <c r="B17" s="64"/>
      <c r="C17" s="33" t="s">
        <v>109</v>
      </c>
      <c r="D17" s="9">
        <v>0.1</v>
      </c>
      <c r="E17" s="33" t="s">
        <v>110</v>
      </c>
      <c r="F17" s="61">
        <f t="shared" si="1"/>
        <v>0</v>
      </c>
      <c r="L17" s="33" t="s">
        <v>114</v>
      </c>
      <c r="M17" s="39"/>
      <c r="S17" s="9"/>
    </row>
    <row r="18" spans="1:19" x14ac:dyDescent="0.25">
      <c r="B18" s="64"/>
      <c r="C18" s="33" t="s">
        <v>109</v>
      </c>
      <c r="D18" s="9">
        <v>0.05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  <c r="S18" s="9"/>
    </row>
    <row r="19" spans="1:19" x14ac:dyDescent="0.25">
      <c r="S19" s="9"/>
    </row>
    <row r="20" spans="1:19" x14ac:dyDescent="0.25">
      <c r="D20" t="s">
        <v>116</v>
      </c>
      <c r="F20" s="67">
        <f>SUM(F9:F14)</f>
        <v>0</v>
      </c>
      <c r="S20" s="9"/>
    </row>
    <row r="21" spans="1:19" x14ac:dyDescent="0.25">
      <c r="D21" t="s">
        <v>117</v>
      </c>
      <c r="F21" s="69">
        <f>SUM(F16:F19)</f>
        <v>0</v>
      </c>
      <c r="S21" s="9"/>
    </row>
    <row r="22" spans="1:19" x14ac:dyDescent="0.25">
      <c r="D22" t="s">
        <v>13</v>
      </c>
      <c r="F22" s="69">
        <f>SUM(F20:F21)+M18</f>
        <v>0</v>
      </c>
      <c r="S22" s="9"/>
    </row>
    <row r="23" spans="1:19" x14ac:dyDescent="0.25">
      <c r="D23" s="24" t="s">
        <v>124</v>
      </c>
      <c r="F23" s="78">
        <f>SUM(S10:S22)</f>
        <v>0</v>
      </c>
    </row>
    <row r="24" spans="1:19" x14ac:dyDescent="0.25">
      <c r="D24" t="s">
        <v>128</v>
      </c>
      <c r="F24" s="79">
        <f>F22+F23+F5</f>
        <v>0</v>
      </c>
    </row>
    <row r="25" spans="1:19" x14ac:dyDescent="0.25">
      <c r="A25" t="s">
        <v>37</v>
      </c>
    </row>
    <row r="27" spans="1:19" x14ac:dyDescent="0.25">
      <c r="B27" s="64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9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S30"/>
  <sheetViews>
    <sheetView zoomScaleNormal="100" workbookViewId="0">
      <selection activeCell="Q10" sqref="Q10:S10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44437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9" x14ac:dyDescent="0.25">
      <c r="A5" t="s">
        <v>102</v>
      </c>
      <c r="F5" s="64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9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  <c r="S10" s="9"/>
    </row>
    <row r="11" spans="1:19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9"/>
    </row>
    <row r="12" spans="1:19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9"/>
    </row>
    <row r="13" spans="1:19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9"/>
    </row>
    <row r="14" spans="1:19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  <c r="S14" s="9"/>
    </row>
    <row r="15" spans="1:19" x14ac:dyDescent="0.25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  <c r="S15" s="9"/>
    </row>
    <row r="16" spans="1:19" x14ac:dyDescent="0.25">
      <c r="B16" s="64"/>
      <c r="C16" s="33" t="s">
        <v>109</v>
      </c>
      <c r="D16" s="9">
        <v>0.25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  <c r="S16" s="9"/>
    </row>
    <row r="17" spans="1:19" x14ac:dyDescent="0.25">
      <c r="B17" s="64"/>
      <c r="C17" s="33" t="s">
        <v>109</v>
      </c>
      <c r="D17" s="9">
        <v>0.1</v>
      </c>
      <c r="E17" s="33" t="s">
        <v>110</v>
      </c>
      <c r="F17" s="61">
        <f t="shared" si="1"/>
        <v>0</v>
      </c>
      <c r="L17" s="33" t="s">
        <v>114</v>
      </c>
      <c r="M17" s="39"/>
      <c r="S17" s="9"/>
    </row>
    <row r="18" spans="1:19" x14ac:dyDescent="0.25">
      <c r="B18" s="64"/>
      <c r="C18" s="33" t="s">
        <v>109</v>
      </c>
      <c r="D18" s="9">
        <v>0.05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  <c r="S18" s="9"/>
    </row>
    <row r="19" spans="1:19" x14ac:dyDescent="0.25">
      <c r="B19" s="80"/>
      <c r="C19" s="33" t="s">
        <v>109</v>
      </c>
      <c r="D19" s="9">
        <v>0.01</v>
      </c>
      <c r="F19" s="81">
        <f t="shared" si="1"/>
        <v>0</v>
      </c>
      <c r="S19" s="9"/>
    </row>
    <row r="20" spans="1:19" x14ac:dyDescent="0.25">
      <c r="D20" t="s">
        <v>116</v>
      </c>
      <c r="F20" s="67">
        <f>SUM(F9:F14)</f>
        <v>0</v>
      </c>
      <c r="S20" s="9"/>
    </row>
    <row r="21" spans="1:19" x14ac:dyDescent="0.25">
      <c r="D21" t="s">
        <v>117</v>
      </c>
      <c r="F21" s="69">
        <f>SUM(F16:F19)</f>
        <v>0</v>
      </c>
      <c r="S21" s="9"/>
    </row>
    <row r="22" spans="1:19" x14ac:dyDescent="0.25">
      <c r="D22" t="s">
        <v>13</v>
      </c>
      <c r="F22" s="69">
        <f>SUM(F20:F21)+M18</f>
        <v>0</v>
      </c>
    </row>
    <row r="23" spans="1:19" x14ac:dyDescent="0.25">
      <c r="D23" s="24" t="s">
        <v>124</v>
      </c>
      <c r="F23" s="78">
        <f>SUM(S10:S22)</f>
        <v>0</v>
      </c>
    </row>
    <row r="24" spans="1:19" x14ac:dyDescent="0.25">
      <c r="D24" t="s">
        <v>128</v>
      </c>
      <c r="F24" s="79">
        <f>F22+F23+F5</f>
        <v>0</v>
      </c>
    </row>
    <row r="25" spans="1:19" x14ac:dyDescent="0.25">
      <c r="A25" t="s">
        <v>37</v>
      </c>
    </row>
    <row r="27" spans="1:19" x14ac:dyDescent="0.25">
      <c r="B27" s="64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9" x14ac:dyDescent="0.25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C871F5-7068-49CC-8AB2-CCB327FB4343}">
  <dimension ref="A1:S30"/>
  <sheetViews>
    <sheetView zoomScaleNormal="100" workbookViewId="0">
      <selection activeCell="B10" sqref="B10:B14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9" x14ac:dyDescent="0.25">
      <c r="A1" t="s">
        <v>122</v>
      </c>
    </row>
    <row r="3" spans="1:19" x14ac:dyDescent="0.25">
      <c r="A3" t="s">
        <v>123</v>
      </c>
      <c r="B3" s="45">
        <v>44439</v>
      </c>
      <c r="D3" t="str">
        <f>IF(WEEKDAY(B3)=1,"Sunday",IF(WEEKDAY(B3)=2,"Monday",IF(WEEKDAY(B3)=3,"Tuesday",IF(WEEKDAY(B3)=4,"Wednesday",IF(WEEKDAY(B3)=5,"Thursday",IF(WEEKDAY(B3)=6,"Friday",IF(WEEKDAY(B3)=7,"Saturday")))))))</f>
        <v>Tuesday</v>
      </c>
      <c r="F3" t="s">
        <v>153</v>
      </c>
    </row>
    <row r="5" spans="1:19" ht="15.75" thickBot="1" x14ac:dyDescent="0.3">
      <c r="A5" t="s">
        <v>102</v>
      </c>
      <c r="F5" s="71"/>
    </row>
    <row r="6" spans="1:19" x14ac:dyDescent="0.25">
      <c r="K6" t="s">
        <v>108</v>
      </c>
    </row>
    <row r="7" spans="1:19" x14ac:dyDescent="0.25">
      <c r="A7" t="s">
        <v>103</v>
      </c>
      <c r="Q7" s="118" t="s">
        <v>124</v>
      </c>
      <c r="R7" s="118"/>
      <c r="S7" s="118"/>
    </row>
    <row r="8" spans="1:19" ht="15.75" thickBot="1" x14ac:dyDescent="0.3">
      <c r="I8" s="71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9" ht="15.75" thickBot="1" x14ac:dyDescent="0.3">
      <c r="B9" s="71"/>
      <c r="C9" s="33" t="s">
        <v>109</v>
      </c>
      <c r="D9" s="53">
        <v>50</v>
      </c>
      <c r="E9" s="33" t="s">
        <v>110</v>
      </c>
      <c r="F9" s="54">
        <f t="shared" ref="F9:F19" si="1">B9*D9</f>
        <v>0</v>
      </c>
      <c r="I9" s="71"/>
      <c r="J9" s="33" t="s">
        <v>109</v>
      </c>
      <c r="K9" s="53">
        <v>50</v>
      </c>
      <c r="L9" s="33" t="s">
        <v>110</v>
      </c>
      <c r="M9" s="54">
        <f t="shared" si="0"/>
        <v>0</v>
      </c>
      <c r="P9" s="4" t="s">
        <v>125</v>
      </c>
      <c r="Q9" s="4"/>
      <c r="R9" s="4"/>
      <c r="S9" s="4" t="s">
        <v>126</v>
      </c>
    </row>
    <row r="10" spans="1:19" ht="15.75" thickBot="1" x14ac:dyDescent="0.3">
      <c r="B10" s="71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71"/>
      <c r="J10" s="33" t="s">
        <v>109</v>
      </c>
      <c r="K10" s="53">
        <v>20</v>
      </c>
      <c r="L10" s="33" t="s">
        <v>110</v>
      </c>
      <c r="M10" s="54">
        <f t="shared" si="0"/>
        <v>0</v>
      </c>
      <c r="S10" s="9"/>
    </row>
    <row r="11" spans="1:19" ht="15.75" thickBot="1" x14ac:dyDescent="0.3">
      <c r="B11" s="71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71"/>
      <c r="J11" s="33" t="s">
        <v>109</v>
      </c>
      <c r="K11" s="53">
        <v>10</v>
      </c>
      <c r="L11" s="33" t="s">
        <v>110</v>
      </c>
      <c r="M11" s="54">
        <f t="shared" si="0"/>
        <v>0</v>
      </c>
      <c r="S11" s="9"/>
    </row>
    <row r="12" spans="1:19" ht="15.75" thickBot="1" x14ac:dyDescent="0.3">
      <c r="B12" s="71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71"/>
      <c r="J12" s="33" t="s">
        <v>109</v>
      </c>
      <c r="K12" s="53">
        <v>5</v>
      </c>
      <c r="L12" s="33" t="s">
        <v>110</v>
      </c>
      <c r="M12" s="54">
        <f t="shared" si="0"/>
        <v>0</v>
      </c>
      <c r="S12" s="9"/>
    </row>
    <row r="13" spans="1:19" ht="15.75" thickBot="1" x14ac:dyDescent="0.3">
      <c r="B13" s="71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71"/>
      <c r="J13" s="33" t="s">
        <v>109</v>
      </c>
      <c r="K13" s="53">
        <v>2</v>
      </c>
      <c r="L13" s="33" t="s">
        <v>110</v>
      </c>
      <c r="M13" s="54">
        <f t="shared" si="0"/>
        <v>0</v>
      </c>
      <c r="S13" s="9"/>
    </row>
    <row r="14" spans="1:19" ht="15.75" thickBot="1" x14ac:dyDescent="0.3">
      <c r="B14" s="71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71"/>
      <c r="J14" s="33" t="s">
        <v>109</v>
      </c>
      <c r="K14" s="53">
        <v>1</v>
      </c>
      <c r="L14" s="33" t="s">
        <v>110</v>
      </c>
      <c r="M14" s="54">
        <f t="shared" si="0"/>
        <v>0</v>
      </c>
      <c r="S14" s="9"/>
    </row>
    <row r="15" spans="1:19" ht="15.75" thickBot="1" x14ac:dyDescent="0.3">
      <c r="B15" s="71"/>
      <c r="C15" s="33" t="s">
        <v>109</v>
      </c>
      <c r="D15" s="9">
        <v>0.5</v>
      </c>
      <c r="E15" s="33" t="s">
        <v>110</v>
      </c>
      <c r="F15" s="61">
        <f t="shared" si="1"/>
        <v>0</v>
      </c>
      <c r="S15" s="9"/>
    </row>
    <row r="16" spans="1:19" ht="15.75" thickBot="1" x14ac:dyDescent="0.3">
      <c r="B16" s="71"/>
      <c r="C16" s="33" t="s">
        <v>109</v>
      </c>
      <c r="D16" s="9">
        <v>0.25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  <c r="S16" s="9"/>
    </row>
    <row r="17" spans="1:19" ht="15.75" thickBot="1" x14ac:dyDescent="0.3">
      <c r="B17" s="71"/>
      <c r="C17" s="33" t="s">
        <v>109</v>
      </c>
      <c r="D17" s="9">
        <v>0.1</v>
      </c>
      <c r="E17" s="33" t="s">
        <v>110</v>
      </c>
      <c r="F17" s="61">
        <f t="shared" si="1"/>
        <v>0</v>
      </c>
      <c r="L17" s="33" t="s">
        <v>114</v>
      </c>
      <c r="M17" s="39"/>
      <c r="S17" s="9"/>
    </row>
    <row r="18" spans="1:19" ht="15.75" thickBot="1" x14ac:dyDescent="0.3">
      <c r="B18" s="71"/>
      <c r="C18" s="33" t="s">
        <v>109</v>
      </c>
      <c r="D18" s="9">
        <v>0.05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  <c r="S18" s="9"/>
    </row>
    <row r="19" spans="1:19" x14ac:dyDescent="0.25">
      <c r="B19" s="80"/>
      <c r="C19" s="33" t="s">
        <v>109</v>
      </c>
      <c r="D19" s="9">
        <v>0.01</v>
      </c>
      <c r="F19" s="90">
        <f t="shared" si="1"/>
        <v>0</v>
      </c>
      <c r="S19" s="9"/>
    </row>
    <row r="20" spans="1:19" ht="15.75" thickBot="1" x14ac:dyDescent="0.3">
      <c r="D20" t="s">
        <v>116</v>
      </c>
      <c r="F20" s="67">
        <f>SUM(F9:F14)</f>
        <v>0</v>
      </c>
      <c r="S20" s="9"/>
    </row>
    <row r="21" spans="1:19" ht="16.5" thickTop="1" thickBot="1" x14ac:dyDescent="0.3">
      <c r="D21" t="s">
        <v>117</v>
      </c>
      <c r="F21" s="69">
        <f>SUM(F16:F19)</f>
        <v>0</v>
      </c>
      <c r="S21" s="9"/>
    </row>
    <row r="22" spans="1:19" ht="16.5" thickTop="1" thickBot="1" x14ac:dyDescent="0.3">
      <c r="D22" t="s">
        <v>13</v>
      </c>
      <c r="F22" s="69">
        <f>SUM(F20:F21)+M18</f>
        <v>0</v>
      </c>
    </row>
    <row r="23" spans="1:19" ht="16.5" thickTop="1" thickBot="1" x14ac:dyDescent="0.3">
      <c r="D23" s="24" t="s">
        <v>124</v>
      </c>
      <c r="F23" s="78">
        <f>SUM(S10:S22)</f>
        <v>0</v>
      </c>
    </row>
    <row r="24" spans="1:19" ht="15.75" thickBot="1" x14ac:dyDescent="0.3">
      <c r="D24" t="s">
        <v>128</v>
      </c>
      <c r="F24" s="79">
        <f>F22+F23+F5</f>
        <v>0</v>
      </c>
    </row>
    <row r="25" spans="1:19" ht="15.75" thickTop="1" x14ac:dyDescent="0.25">
      <c r="A25" t="s">
        <v>37</v>
      </c>
    </row>
    <row r="27" spans="1:19" ht="15.75" thickBot="1" x14ac:dyDescent="0.3">
      <c r="B27" s="71"/>
      <c r="C27" s="33" t="s">
        <v>109</v>
      </c>
      <c r="D27" s="53">
        <v>3</v>
      </c>
      <c r="E27" s="33" t="s">
        <v>110</v>
      </c>
      <c r="F27" s="54">
        <f>B27*D27</f>
        <v>0</v>
      </c>
      <c r="G27" t="s">
        <v>119</v>
      </c>
    </row>
    <row r="30" spans="1:19" ht="15.75" thickBot="1" x14ac:dyDescent="0.3">
      <c r="A30" t="s">
        <v>38</v>
      </c>
      <c r="F30" s="54"/>
      <c r="G30" t="s">
        <v>119</v>
      </c>
    </row>
  </sheetData>
  <mergeCells count="1">
    <mergeCell ref="Q7:S7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45"/>
  <sheetViews>
    <sheetView tabSelected="1" topLeftCell="A2" zoomScaleNormal="100" workbookViewId="0">
      <selection activeCell="D8" sqref="D8"/>
    </sheetView>
  </sheetViews>
  <sheetFormatPr defaultRowHeight="15" x14ac:dyDescent="0.25"/>
  <cols>
    <col min="1" max="2" width="8.7109375" customWidth="1"/>
    <col min="3" max="3" width="24.5703125" customWidth="1"/>
    <col min="4" max="4" width="15" customWidth="1"/>
    <col min="5" max="6" width="8.7109375" customWidth="1"/>
    <col min="7" max="7" width="15.140625" customWidth="1"/>
    <col min="8" max="8" width="8.7109375" customWidth="1"/>
    <col min="9" max="9" width="14.85546875" customWidth="1"/>
    <col min="10" max="10" width="11.5703125" customWidth="1"/>
    <col min="11" max="11" width="11.28515625" customWidth="1"/>
    <col min="12" max="12" width="8.7109375" customWidth="1"/>
    <col min="13" max="13" width="12.42578125" customWidth="1"/>
    <col min="14" max="15" width="8.7109375" customWidth="1"/>
    <col min="16" max="16" width="13.85546875" customWidth="1"/>
    <col min="17" max="17" width="13.42578125" customWidth="1"/>
    <col min="18" max="1025" width="8.7109375" customWidth="1"/>
  </cols>
  <sheetData>
    <row r="1" spans="1:16" ht="21" x14ac:dyDescent="0.35">
      <c r="A1" s="116" t="s">
        <v>0</v>
      </c>
      <c r="B1" s="116"/>
      <c r="C1" s="116"/>
      <c r="D1" s="116"/>
      <c r="E1" s="116"/>
      <c r="F1" s="116"/>
      <c r="G1" s="116"/>
    </row>
    <row r="2" spans="1:16" ht="23.25" x14ac:dyDescent="0.35">
      <c r="A2" s="117" t="s">
        <v>30</v>
      </c>
      <c r="B2" s="117"/>
      <c r="C2" s="117"/>
      <c r="D2" s="117"/>
      <c r="E2" s="117"/>
      <c r="F2" s="117"/>
      <c r="G2" s="117"/>
    </row>
    <row r="3" spans="1:16" x14ac:dyDescent="0.25">
      <c r="F3" t="str">
        <f>'Position Statement'!F3</f>
        <v>AS OF: May 31, 2022</v>
      </c>
    </row>
    <row r="5" spans="1:16" ht="15.75" x14ac:dyDescent="0.25">
      <c r="B5" s="1" t="s">
        <v>31</v>
      </c>
    </row>
    <row r="6" spans="1:16" ht="15.75" x14ac:dyDescent="0.25">
      <c r="B6" s="1"/>
      <c r="G6" s="4" t="s">
        <v>32</v>
      </c>
      <c r="I6" s="4" t="s">
        <v>33</v>
      </c>
      <c r="N6" s="16" t="s">
        <v>34</v>
      </c>
    </row>
    <row r="7" spans="1:16" x14ac:dyDescent="0.25">
      <c r="C7" s="17" t="s">
        <v>35</v>
      </c>
      <c r="D7" s="18">
        <f>SUM('Net Shed Tally Sheets - 1:Sheet 16'!F24)-SUM('Net Shed Tally Sheets - 1:Sheet 16'!F27)-SUM('Net Shed Tally Sheets - 1:Sheet 16'!F30)</f>
        <v>2146.1</v>
      </c>
      <c r="G7" s="5">
        <f>D7+'[1]Operating Statement'!G7</f>
        <v>18698.609999999997</v>
      </c>
      <c r="I7" s="13">
        <f>'[4]Operating Statement'!G7</f>
        <v>15215.94</v>
      </c>
      <c r="K7" s="3"/>
      <c r="N7" t="s">
        <v>36</v>
      </c>
    </row>
    <row r="8" spans="1:16" x14ac:dyDescent="0.25">
      <c r="C8" s="17" t="s">
        <v>37</v>
      </c>
      <c r="D8" s="18">
        <f>SUM('Net Shed Tally Sheets - 1:Sheet 16'!F27)</f>
        <v>149</v>
      </c>
      <c r="G8" s="5">
        <f>D8+'[1]Operating Statement'!G8</f>
        <v>375</v>
      </c>
      <c r="I8" s="13">
        <f>'[4]Operating Statement'!G8</f>
        <v>141</v>
      </c>
      <c r="K8" s="19"/>
    </row>
    <row r="9" spans="1:16" x14ac:dyDescent="0.25">
      <c r="C9" s="17" t="s">
        <v>38</v>
      </c>
      <c r="D9" s="18">
        <f>SUM('Net Shed Tally Sheets - 1:Sheet 16'!F30)+SUM(Contributions!C10)-Chequing!F66+[1]Chequing!$F$68-Chequing!F67+'Petty Cash'!D8+Chequing!F16</f>
        <v>1625</v>
      </c>
      <c r="G9" s="5">
        <f>D9+'[1]Operating Statement'!G9</f>
        <v>21970.109999999997</v>
      </c>
      <c r="I9" s="13">
        <f>'[4]Operating Statement'!G9</f>
        <v>172789.88999999998</v>
      </c>
    </row>
    <row r="10" spans="1:16" x14ac:dyDescent="0.25">
      <c r="C10" s="17" t="s">
        <v>39</v>
      </c>
      <c r="D10" s="5">
        <f>SUM('Concert Tally Sheets - 1:Concert Tally Sheets - 5'!F21)</f>
        <v>0</v>
      </c>
      <c r="G10" s="5">
        <f>D10+'[1]Operating Statement'!G10</f>
        <v>0</v>
      </c>
      <c r="I10" s="13">
        <f>'[4]Operating Statement'!G10</f>
        <v>0</v>
      </c>
    </row>
    <row r="11" spans="1:16" x14ac:dyDescent="0.25">
      <c r="C11" s="17" t="s">
        <v>40</v>
      </c>
      <c r="D11" s="18"/>
      <c r="G11" s="5">
        <f>D11+'[1]Operating Statement'!G11</f>
        <v>0</v>
      </c>
      <c r="I11" s="13">
        <f>'[4]Operating Statement'!G11</f>
        <v>0</v>
      </c>
      <c r="J11" s="9"/>
    </row>
    <row r="12" spans="1:16" x14ac:dyDescent="0.25">
      <c r="C12" s="17" t="s">
        <v>41</v>
      </c>
      <c r="D12" s="5"/>
      <c r="G12" s="5">
        <f>D12+'[1]Operating Statement'!G12</f>
        <v>0</v>
      </c>
      <c r="I12" s="13">
        <f>'[4]Operating Statement'!G12</f>
        <v>0</v>
      </c>
    </row>
    <row r="13" spans="1:16" x14ac:dyDescent="0.25">
      <c r="C13" s="17" t="s">
        <v>42</v>
      </c>
      <c r="D13" s="5">
        <f>Chequing!F17</f>
        <v>0</v>
      </c>
      <c r="G13" s="5">
        <f>D13+'[1]Operating Statement'!G13</f>
        <v>302.83</v>
      </c>
      <c r="I13" s="13">
        <f>'[4]Operating Statement'!G13</f>
        <v>478.97</v>
      </c>
    </row>
    <row r="14" spans="1:16" x14ac:dyDescent="0.25">
      <c r="C14" t="s">
        <v>43</v>
      </c>
      <c r="G14" s="5"/>
      <c r="I14" s="13">
        <f>'[4]Operating Statement'!G14</f>
        <v>0</v>
      </c>
    </row>
    <row r="15" spans="1:16" x14ac:dyDescent="0.25">
      <c r="C15" s="4" t="s">
        <v>44</v>
      </c>
      <c r="D15" s="20">
        <f>SUM(D5:D14)</f>
        <v>3920.1</v>
      </c>
      <c r="E15" s="3"/>
      <c r="G15" s="5">
        <f>D15+'[1]Operating Statement'!G15</f>
        <v>41346.549999999996</v>
      </c>
      <c r="I15" s="20">
        <f>'[4]Operating Statement'!G15</f>
        <v>188625.8</v>
      </c>
      <c r="K15" s="5">
        <f>SUM(G7:G13)</f>
        <v>41346.549999999996</v>
      </c>
      <c r="L15" t="str">
        <f>IF(G15=K15,"Check","Error")</f>
        <v>Check</v>
      </c>
      <c r="M15" s="5" t="s">
        <v>45</v>
      </c>
      <c r="P15" s="5">
        <f>Chequing!F19</f>
        <v>3885</v>
      </c>
    </row>
    <row r="16" spans="1:16" x14ac:dyDescent="0.25">
      <c r="G16" s="5"/>
      <c r="I16" s="3"/>
      <c r="N16" t="s">
        <v>46</v>
      </c>
      <c r="P16" s="9">
        <f>'Position Statement'!F20</f>
        <v>66.48</v>
      </c>
    </row>
    <row r="17" spans="2:17" ht="15.75" x14ac:dyDescent="0.25">
      <c r="B17" s="1" t="s">
        <v>47</v>
      </c>
      <c r="G17" s="5"/>
      <c r="N17" t="s">
        <v>147</v>
      </c>
      <c r="P17" s="5"/>
    </row>
    <row r="18" spans="2:17" x14ac:dyDescent="0.25">
      <c r="C18" s="17" t="s">
        <v>48</v>
      </c>
      <c r="D18" s="21">
        <f>Chequing!F35</f>
        <v>0</v>
      </c>
      <c r="F18" s="121" t="s">
        <v>169</v>
      </c>
      <c r="G18" s="5">
        <f>D18+'[1]Operating Statement'!G18</f>
        <v>752.75</v>
      </c>
      <c r="I18" s="13">
        <f>'[4]Operating Statement'!G18</f>
        <v>622.29999999999995</v>
      </c>
      <c r="M18" t="s">
        <v>50</v>
      </c>
      <c r="N18" t="s">
        <v>146</v>
      </c>
      <c r="P18" s="5">
        <f>-'Position Statement'!$F$20</f>
        <v>-66.48</v>
      </c>
    </row>
    <row r="19" spans="2:17" x14ac:dyDescent="0.25">
      <c r="C19" s="17" t="s">
        <v>49</v>
      </c>
      <c r="D19" s="21">
        <f>'Petty Cash'!D18</f>
        <v>0</v>
      </c>
      <c r="F19" s="121" t="s">
        <v>170</v>
      </c>
      <c r="G19" s="5">
        <f>D19+'[1]Operating Statement'!G19</f>
        <v>325.01</v>
      </c>
      <c r="I19" s="13">
        <f>'[4]Operating Statement'!G19</f>
        <v>0</v>
      </c>
      <c r="M19" t="s">
        <v>50</v>
      </c>
      <c r="N19" t="s">
        <v>72</v>
      </c>
      <c r="P19" s="5"/>
    </row>
    <row r="20" spans="2:17" x14ac:dyDescent="0.25">
      <c r="C20" s="17" t="s">
        <v>51</v>
      </c>
      <c r="D20" s="21">
        <f>Chequing!F33</f>
        <v>445</v>
      </c>
      <c r="F20" s="121" t="s">
        <v>171</v>
      </c>
      <c r="G20" s="5">
        <f>D20+'[1]Operating Statement'!G20</f>
        <v>4319.6000000000004</v>
      </c>
      <c r="I20" s="13">
        <f>'[4]Operating Statement'!G20</f>
        <v>807</v>
      </c>
      <c r="P20" s="5">
        <f>SUM(P15:P19)</f>
        <v>3885</v>
      </c>
    </row>
    <row r="21" spans="2:17" x14ac:dyDescent="0.25">
      <c r="C21" s="17" t="s">
        <v>52</v>
      </c>
      <c r="D21" s="21">
        <f>Chequing!F38</f>
        <v>0</v>
      </c>
      <c r="F21" s="121" t="s">
        <v>169</v>
      </c>
      <c r="G21" s="5">
        <f>D21+'[1]Operating Statement'!G21</f>
        <v>1720</v>
      </c>
      <c r="I21" s="13">
        <f>'[4]Operating Statement'!G21</f>
        <v>1600</v>
      </c>
      <c r="Q21" s="5">
        <f>D15-P20</f>
        <v>35.099999999999909</v>
      </c>
    </row>
    <row r="22" spans="2:17" x14ac:dyDescent="0.25">
      <c r="C22" s="17" t="s">
        <v>53</v>
      </c>
      <c r="D22" s="21">
        <f>Chequing!F34</f>
        <v>3.75</v>
      </c>
      <c r="F22" s="121" t="s">
        <v>170</v>
      </c>
      <c r="G22" s="5">
        <f>D22+'[1]Operating Statement'!G22</f>
        <v>34.089999999999996</v>
      </c>
      <c r="I22" s="13">
        <f>'[4]Operating Statement'!G22</f>
        <v>42.3</v>
      </c>
    </row>
    <row r="23" spans="2:17" x14ac:dyDescent="0.25">
      <c r="C23" s="17" t="s">
        <v>54</v>
      </c>
      <c r="D23" s="21">
        <f>Chequing!F39</f>
        <v>3.4899999999999993</v>
      </c>
      <c r="F23" s="121" t="s">
        <v>172</v>
      </c>
      <c r="G23" s="5">
        <f>D23+'[1]Operating Statement'!G23</f>
        <v>269.92</v>
      </c>
      <c r="I23" s="13">
        <f>'[4]Operating Statement'!G23</f>
        <v>1776.2299999999998</v>
      </c>
    </row>
    <row r="24" spans="2:17" x14ac:dyDescent="0.25">
      <c r="C24" t="s">
        <v>55</v>
      </c>
      <c r="D24" s="21"/>
      <c r="F24" s="121" t="s">
        <v>171</v>
      </c>
      <c r="G24" s="5">
        <f>D24+'[1]Operating Statement'!G24</f>
        <v>30.78</v>
      </c>
      <c r="I24" s="13">
        <f>'[4]Operating Statement'!G24</f>
        <v>0</v>
      </c>
    </row>
    <row r="25" spans="2:17" x14ac:dyDescent="0.25">
      <c r="C25" t="s">
        <v>56</v>
      </c>
      <c r="D25" s="21">
        <f>Chequing!F32</f>
        <v>0</v>
      </c>
      <c r="F25" s="121" t="s">
        <v>171</v>
      </c>
      <c r="G25" s="5">
        <f>D25+'[1]Operating Statement'!G25</f>
        <v>22405.53</v>
      </c>
      <c r="I25" s="13">
        <f>'[4]Operating Statement'!G25</f>
        <v>285347.92</v>
      </c>
    </row>
    <row r="26" spans="2:17" x14ac:dyDescent="0.25">
      <c r="C26" t="s">
        <v>57</v>
      </c>
      <c r="D26" s="21">
        <f>Chequing!F41</f>
        <v>0</v>
      </c>
      <c r="F26" s="121" t="s">
        <v>171</v>
      </c>
      <c r="G26" s="5">
        <f>D26+'[1]Operating Statement'!G26</f>
        <v>0</v>
      </c>
      <c r="I26" s="13">
        <f>'[4]Operating Statement'!G26</f>
        <v>0</v>
      </c>
    </row>
    <row r="27" spans="2:17" x14ac:dyDescent="0.25">
      <c r="C27" t="s">
        <v>58</v>
      </c>
      <c r="D27" s="21">
        <f>Chequing!F30</f>
        <v>38</v>
      </c>
      <c r="F27" s="121" t="s">
        <v>171</v>
      </c>
      <c r="G27" s="5">
        <f>D27+'[1]Operating Statement'!G27</f>
        <v>457</v>
      </c>
      <c r="I27" s="13">
        <f>'[4]Operating Statement'!G27</f>
        <v>420</v>
      </c>
    </row>
    <row r="28" spans="2:17" x14ac:dyDescent="0.25">
      <c r="C28" t="s">
        <v>59</v>
      </c>
      <c r="D28" s="21">
        <f>Chequing!F37</f>
        <v>0</v>
      </c>
      <c r="F28" s="121" t="s">
        <v>169</v>
      </c>
      <c r="G28" s="5">
        <f>D28+'[1]Operating Statement'!G28</f>
        <v>0</v>
      </c>
      <c r="H28" s="5"/>
      <c r="I28" s="13">
        <f>'[4]Operating Statement'!G28</f>
        <v>159.97999999999999</v>
      </c>
    </row>
    <row r="29" spans="2:17" x14ac:dyDescent="0.25">
      <c r="C29" t="s">
        <v>60</v>
      </c>
      <c r="D29" s="21">
        <f>Chequing!F40+'Petty Cash'!D15+'Petty Cash'!D16+'Petty Cash'!D17</f>
        <v>0</v>
      </c>
      <c r="F29" s="121" t="s">
        <v>171</v>
      </c>
      <c r="G29" s="5">
        <f>D29+'[1]Operating Statement'!G29</f>
        <v>30</v>
      </c>
      <c r="I29" s="13">
        <f>'[4]Operating Statement'!G29</f>
        <v>228</v>
      </c>
    </row>
    <row r="30" spans="2:17" x14ac:dyDescent="0.25">
      <c r="C30" t="s">
        <v>61</v>
      </c>
      <c r="D30" s="21">
        <f>Chequing!F29</f>
        <v>17.68</v>
      </c>
      <c r="F30" s="122" t="s">
        <v>171</v>
      </c>
      <c r="G30" s="5">
        <f>D30+'[1]Operating Statement'!G30</f>
        <v>226.09000000000003</v>
      </c>
      <c r="H30" s="5"/>
      <c r="I30" s="13">
        <f>'[4]Operating Statement'!G30</f>
        <v>224.33973451327438</v>
      </c>
    </row>
    <row r="31" spans="2:17" x14ac:dyDescent="0.25">
      <c r="C31" t="s">
        <v>62</v>
      </c>
      <c r="D31" s="21">
        <f>Chequing!F31</f>
        <v>0</v>
      </c>
      <c r="F31" s="122" t="s">
        <v>171</v>
      </c>
      <c r="G31" s="5">
        <f>D31+'[1]Operating Statement'!G31</f>
        <v>0</v>
      </c>
      <c r="H31" s="5"/>
      <c r="I31" s="13">
        <f>'[4]Operating Statement'!G31</f>
        <v>0</v>
      </c>
    </row>
    <row r="32" spans="2:17" x14ac:dyDescent="0.25">
      <c r="C32" t="s">
        <v>63</v>
      </c>
      <c r="D32" s="21">
        <f>Chequing!F43</f>
        <v>0</v>
      </c>
      <c r="F32" s="122" t="s">
        <v>172</v>
      </c>
      <c r="G32" s="5">
        <f>D32+'[1]Operating Statement'!G32</f>
        <v>675</v>
      </c>
      <c r="H32" s="5"/>
      <c r="I32" s="13">
        <f>'[4]Operating Statement'!G32</f>
        <v>24</v>
      </c>
    </row>
    <row r="33" spans="2:14" x14ac:dyDescent="0.25">
      <c r="C33" t="s">
        <v>64</v>
      </c>
      <c r="D33" s="21">
        <f>'Petty Cash'!D20+Chequing!F42</f>
        <v>219.45</v>
      </c>
      <c r="F33" s="122" t="s">
        <v>173</v>
      </c>
      <c r="G33" s="5">
        <f>D33+'[1]Operating Statement'!G33</f>
        <v>354.45</v>
      </c>
      <c r="H33" s="5"/>
      <c r="I33" s="13">
        <f>'[4]Operating Statement'!G33</f>
        <v>662.7</v>
      </c>
    </row>
    <row r="34" spans="2:14" x14ac:dyDescent="0.25">
      <c r="C34" t="s">
        <v>65</v>
      </c>
      <c r="D34" s="21">
        <f>Chequing!F44+'Petty Cash'!I22</f>
        <v>30.64</v>
      </c>
      <c r="F34" s="121" t="s">
        <v>171</v>
      </c>
      <c r="G34" s="5">
        <f>D34+'[1]Operating Statement'!G34</f>
        <v>208.10000000000002</v>
      </c>
      <c r="I34" s="13">
        <f>'[4]Operating Statement'!G34</f>
        <v>222.85026548672559</v>
      </c>
      <c r="K34" s="111">
        <f>G36+G34*5/13-'[9]Operating Statement'!$K$34</f>
        <v>194.37692307692311</v>
      </c>
      <c r="L34" t="s">
        <v>167</v>
      </c>
    </row>
    <row r="35" spans="2:14" x14ac:dyDescent="0.25">
      <c r="C35" t="s">
        <v>66</v>
      </c>
      <c r="D35" s="21">
        <f>Chequing!F45</f>
        <v>0</v>
      </c>
      <c r="F35" s="121" t="s">
        <v>169</v>
      </c>
      <c r="G35" s="5">
        <f>D35+'[1]Operating Statement'!G35</f>
        <v>137.6</v>
      </c>
      <c r="I35" s="13">
        <f>'[4]Operating Statement'!G35</f>
        <v>128</v>
      </c>
      <c r="L35" s="112">
        <f>ROUND(K34*50%,2)</f>
        <v>97.19</v>
      </c>
    </row>
    <row r="36" spans="2:14" x14ac:dyDescent="0.25">
      <c r="C36" t="s">
        <v>67</v>
      </c>
      <c r="D36" s="21">
        <f>Chequing!F46</f>
        <v>22.25</v>
      </c>
      <c r="F36" s="121" t="s">
        <v>171</v>
      </c>
      <c r="G36" s="5">
        <f>D36+'[1]Operating Statement'!G36</f>
        <v>241.62</v>
      </c>
      <c r="I36" s="13">
        <f>'[4]Operating Statement'!G36</f>
        <v>40.35</v>
      </c>
      <c r="K36" s="111">
        <f>G35+G34*8/13-'[9]Operating Statement'!$K$36</f>
        <v>60.683076923076953</v>
      </c>
      <c r="L36" t="s">
        <v>168</v>
      </c>
    </row>
    <row r="37" spans="2:14" x14ac:dyDescent="0.25">
      <c r="G37" s="5"/>
      <c r="I37" s="13">
        <f>'[4]Operating Statement'!G37</f>
        <v>0</v>
      </c>
      <c r="L37" s="112">
        <f>ROUND(K36*82%,2)</f>
        <v>49.76</v>
      </c>
      <c r="N37" s="112">
        <f>L35+L37</f>
        <v>146.94999999999999</v>
      </c>
    </row>
    <row r="38" spans="2:14" x14ac:dyDescent="0.25">
      <c r="C38" s="4" t="s">
        <v>44</v>
      </c>
      <c r="D38" s="20">
        <f>SUM(D17:D37)</f>
        <v>780.26</v>
      </c>
      <c r="G38" s="5">
        <f>D38+'[1]Operating Statement'!G38</f>
        <v>32187.539999999997</v>
      </c>
      <c r="I38" s="13">
        <f>'[4]Operating Statement'!G38</f>
        <v>292305.96999999997</v>
      </c>
      <c r="K38" s="5"/>
    </row>
    <row r="39" spans="2:14" x14ac:dyDescent="0.25">
      <c r="G39" s="5"/>
      <c r="I39" s="13"/>
      <c r="M39" s="5" t="str">
        <f>IF(ROUND(D38-Chequing!F47-'Petty Cash'!D22,2)&lt;&gt;0,"Error","Check")</f>
        <v>Check</v>
      </c>
    </row>
    <row r="40" spans="2:14" ht="16.5" thickBot="1" x14ac:dyDescent="0.3">
      <c r="B40" s="1" t="s">
        <v>68</v>
      </c>
      <c r="C40" s="1"/>
      <c r="D40" s="15">
        <f>D15-D38</f>
        <v>3139.84</v>
      </c>
      <c r="G40" s="5">
        <f>D40+'[1]Operating Statement'!G40</f>
        <v>9159.0100000000057</v>
      </c>
      <c r="I40" s="15">
        <f>'[4]Operating Statement'!G40</f>
        <v>-103680.16999999998</v>
      </c>
      <c r="M40" s="5">
        <f>D38-Chequing!F47-'Petty Cash'!D22</f>
        <v>0</v>
      </c>
    </row>
    <row r="41" spans="2:14" ht="15.75" thickTop="1" x14ac:dyDescent="0.25">
      <c r="I41" s="13"/>
    </row>
    <row r="42" spans="2:14" x14ac:dyDescent="0.25">
      <c r="I42" s="13"/>
      <c r="M42" s="3"/>
    </row>
    <row r="43" spans="2:14" x14ac:dyDescent="0.25">
      <c r="D43" s="5">
        <f>-(Chequing!F6-Chequing!F55+'Petty Cash'!D4-'Petty Cash'!D29+'[1]Position Statement'!$F$20-'Position Statement'!F20+'[1]Position Statement'!$F$22-'Position Statement'!F22)</f>
        <v>3139.8399999999979</v>
      </c>
      <c r="E43" t="str">
        <f>IF(ROUND(D40-D43,2)=0,"Check","Error")</f>
        <v>Check</v>
      </c>
      <c r="G43" s="5">
        <f>SUM(G7:G14)-SUM(G18:G37)</f>
        <v>9159.0099999999984</v>
      </c>
      <c r="H43" t="str">
        <f>IF(ROUND(G43-G40,2)=0,"Check","Error")</f>
        <v>Check</v>
      </c>
    </row>
    <row r="44" spans="2:14" x14ac:dyDescent="0.25">
      <c r="D44" s="3"/>
    </row>
    <row r="45" spans="2:14" x14ac:dyDescent="0.25">
      <c r="D45" s="3">
        <f>D40-D43</f>
        <v>0</v>
      </c>
      <c r="G45" t="str">
        <f ca="1">IF(ISERROR(SEARCH('Position Statement'!N4,_xlfn.FORMULATEXT(G34),5)),"ERROR","Check")</f>
        <v>Check</v>
      </c>
    </row>
  </sheetData>
  <mergeCells count="2">
    <mergeCell ref="A1:G1"/>
    <mergeCell ref="A2:G2"/>
  </mergeCells>
  <pageMargins left="0.70833333333333304" right="0.70833333333333304" top="0.74791666666666701" bottom="0.74791666666666701" header="0.51180555555555496" footer="0.51180555555555496"/>
  <pageSetup scale="85" firstPageNumber="0" orientation="landscape" horizontalDpi="300" verticalDpi="30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M29"/>
  <sheetViews>
    <sheetView zoomScaleNormal="100" workbookViewId="0">
      <selection activeCell="B10" sqref="B10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3" x14ac:dyDescent="0.25">
      <c r="A1" t="s">
        <v>129</v>
      </c>
    </row>
    <row r="3" spans="1:13" x14ac:dyDescent="0.25">
      <c r="A3" t="s">
        <v>123</v>
      </c>
      <c r="B3" s="45">
        <v>43709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3" x14ac:dyDescent="0.25">
      <c r="A5" t="s">
        <v>102</v>
      </c>
    </row>
    <row r="6" spans="1:13" x14ac:dyDescent="0.25">
      <c r="K6" t="s">
        <v>108</v>
      </c>
    </row>
    <row r="7" spans="1:13" x14ac:dyDescent="0.25">
      <c r="A7" t="s">
        <v>103</v>
      </c>
    </row>
    <row r="8" spans="1:13" x14ac:dyDescent="0.25">
      <c r="B8" s="64"/>
      <c r="C8" s="33" t="s">
        <v>109</v>
      </c>
      <c r="D8" s="53">
        <v>100</v>
      </c>
      <c r="E8" s="33" t="s">
        <v>110</v>
      </c>
      <c r="F8" s="54">
        <f t="shared" ref="F8:F18" si="0">B8*D8</f>
        <v>0</v>
      </c>
      <c r="I8" s="64"/>
      <c r="J8" s="33" t="s">
        <v>109</v>
      </c>
      <c r="K8" s="53">
        <v>100</v>
      </c>
      <c r="L8" s="33"/>
      <c r="M8" s="54">
        <f t="shared" ref="M8:M14" si="1">I8*K8</f>
        <v>0</v>
      </c>
    </row>
    <row r="9" spans="1:13" x14ac:dyDescent="0.25">
      <c r="B9" s="64"/>
      <c r="C9" s="33" t="s">
        <v>109</v>
      </c>
      <c r="D9" s="53">
        <v>50</v>
      </c>
      <c r="E9" s="33" t="s">
        <v>110</v>
      </c>
      <c r="F9" s="54">
        <f t="shared" si="0"/>
        <v>0</v>
      </c>
      <c r="I9" s="64"/>
      <c r="J9" s="33" t="s">
        <v>109</v>
      </c>
      <c r="K9" s="53">
        <v>50</v>
      </c>
      <c r="L9" s="33" t="s">
        <v>110</v>
      </c>
      <c r="M9" s="54">
        <f t="shared" si="1"/>
        <v>0</v>
      </c>
    </row>
    <row r="10" spans="1:13" x14ac:dyDescent="0.25">
      <c r="B10" s="64"/>
      <c r="C10" s="33" t="s">
        <v>109</v>
      </c>
      <c r="D10" s="53">
        <v>20</v>
      </c>
      <c r="E10" s="33" t="s">
        <v>110</v>
      </c>
      <c r="F10" s="54">
        <f t="shared" si="0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1"/>
        <v>0</v>
      </c>
    </row>
    <row r="11" spans="1:13" x14ac:dyDescent="0.25">
      <c r="B11" s="64"/>
      <c r="C11" s="33" t="s">
        <v>109</v>
      </c>
      <c r="D11" s="53">
        <v>10</v>
      </c>
      <c r="E11" s="33" t="s">
        <v>110</v>
      </c>
      <c r="F11" s="54">
        <f t="shared" si="0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1"/>
        <v>0</v>
      </c>
    </row>
    <row r="12" spans="1:13" x14ac:dyDescent="0.25">
      <c r="B12" s="64"/>
      <c r="C12" s="33" t="s">
        <v>109</v>
      </c>
      <c r="D12" s="53">
        <v>5</v>
      </c>
      <c r="E12" s="33" t="s">
        <v>110</v>
      </c>
      <c r="F12" s="54">
        <f t="shared" si="0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1"/>
        <v>0</v>
      </c>
    </row>
    <row r="13" spans="1:13" x14ac:dyDescent="0.25">
      <c r="B13" s="64"/>
      <c r="C13" s="33" t="s">
        <v>109</v>
      </c>
      <c r="D13" s="53">
        <v>2</v>
      </c>
      <c r="E13" s="33" t="s">
        <v>110</v>
      </c>
      <c r="F13" s="54">
        <f t="shared" si="0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1"/>
        <v>0</v>
      </c>
    </row>
    <row r="14" spans="1:13" x14ac:dyDescent="0.25">
      <c r="B14" s="64"/>
      <c r="C14" s="33" t="s">
        <v>109</v>
      </c>
      <c r="D14" s="53">
        <v>1</v>
      </c>
      <c r="E14" s="33" t="s">
        <v>110</v>
      </c>
      <c r="F14" s="54">
        <f t="shared" si="0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1"/>
        <v>0</v>
      </c>
    </row>
    <row r="15" spans="1:13" x14ac:dyDescent="0.25">
      <c r="B15" s="64"/>
      <c r="C15" s="33" t="s">
        <v>109</v>
      </c>
      <c r="D15" s="9">
        <v>0.25</v>
      </c>
      <c r="E15" s="33" t="s">
        <v>110</v>
      </c>
      <c r="F15" s="61">
        <f t="shared" si="0"/>
        <v>0</v>
      </c>
    </row>
    <row r="16" spans="1:13" x14ac:dyDescent="0.25">
      <c r="B16" s="64"/>
      <c r="C16" s="33" t="s">
        <v>109</v>
      </c>
      <c r="D16" s="9">
        <v>0.1</v>
      </c>
      <c r="E16" s="33" t="s">
        <v>110</v>
      </c>
      <c r="F16" s="61">
        <f t="shared" si="0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0.05</v>
      </c>
      <c r="E17" s="33" t="s">
        <v>110</v>
      </c>
      <c r="F17" s="61">
        <f t="shared" si="0"/>
        <v>0</v>
      </c>
      <c r="L17" s="33" t="s">
        <v>114</v>
      </c>
      <c r="M17" s="39"/>
    </row>
    <row r="18" spans="1:13" x14ac:dyDescent="0.25">
      <c r="B18" s="64"/>
      <c r="C18" s="33" t="s">
        <v>109</v>
      </c>
      <c r="D18" s="9">
        <v>0.01</v>
      </c>
      <c r="E18" s="33" t="s">
        <v>110</v>
      </c>
      <c r="F18" s="61">
        <f t="shared" si="0"/>
        <v>0</v>
      </c>
      <c r="L18" t="s">
        <v>127</v>
      </c>
      <c r="M18" s="5">
        <f>ROUND(M16*M17,2)</f>
        <v>0</v>
      </c>
    </row>
    <row r="19" spans="1:13" x14ac:dyDescent="0.25">
      <c r="D19" t="s">
        <v>116</v>
      </c>
      <c r="F19" s="67">
        <f>SUM(F8:F14)</f>
        <v>0</v>
      </c>
    </row>
    <row r="20" spans="1:13" x14ac:dyDescent="0.25">
      <c r="D20" t="s">
        <v>117</v>
      </c>
      <c r="F20" s="69">
        <f>SUM(F15:F18)</f>
        <v>0</v>
      </c>
    </row>
    <row r="21" spans="1:13" x14ac:dyDescent="0.25">
      <c r="D21" t="s">
        <v>13</v>
      </c>
      <c r="F21" s="69">
        <f>SUM(F19:F20)+M18</f>
        <v>0</v>
      </c>
    </row>
    <row r="24" spans="1:13" x14ac:dyDescent="0.25">
      <c r="A24" t="s">
        <v>37</v>
      </c>
    </row>
    <row r="26" spans="1:13" x14ac:dyDescent="0.25">
      <c r="B26" s="64"/>
      <c r="C26" s="33" t="s">
        <v>109</v>
      </c>
      <c r="D26" s="53">
        <v>3</v>
      </c>
      <c r="E26" s="33" t="s">
        <v>110</v>
      </c>
      <c r="F26" s="54">
        <f>B26*D26</f>
        <v>0</v>
      </c>
      <c r="G26" t="s">
        <v>119</v>
      </c>
    </row>
    <row r="29" spans="1:13" x14ac:dyDescent="0.25">
      <c r="A29" t="s">
        <v>38</v>
      </c>
      <c r="F29" s="54"/>
      <c r="G29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M29"/>
  <sheetViews>
    <sheetView zoomScaleNormal="100" workbookViewId="0">
      <selection activeCell="B10" sqref="B10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3" x14ac:dyDescent="0.25">
      <c r="A1" t="s">
        <v>129</v>
      </c>
    </row>
    <row r="3" spans="1:13" x14ac:dyDescent="0.25">
      <c r="A3" t="s">
        <v>123</v>
      </c>
      <c r="B3" s="45">
        <v>43688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3" x14ac:dyDescent="0.25">
      <c r="A5" t="s">
        <v>102</v>
      </c>
    </row>
    <row r="6" spans="1:13" x14ac:dyDescent="0.25">
      <c r="K6" t="s">
        <v>108</v>
      </c>
    </row>
    <row r="7" spans="1:13" x14ac:dyDescent="0.25">
      <c r="A7" t="s">
        <v>103</v>
      </c>
    </row>
    <row r="8" spans="1:13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3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8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</row>
    <row r="10" spans="1:13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</row>
    <row r="11" spans="1:13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</row>
    <row r="12" spans="1:13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</row>
    <row r="13" spans="1:13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</row>
    <row r="14" spans="1:13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</row>
    <row r="15" spans="1:13" x14ac:dyDescent="0.25">
      <c r="B15" s="64"/>
      <c r="C15" s="33" t="s">
        <v>109</v>
      </c>
      <c r="D15" s="9">
        <v>0.25</v>
      </c>
      <c r="E15" s="33" t="s">
        <v>110</v>
      </c>
      <c r="F15" s="61">
        <f t="shared" si="1"/>
        <v>0</v>
      </c>
    </row>
    <row r="16" spans="1:13" x14ac:dyDescent="0.25">
      <c r="B16" s="64"/>
      <c r="C16" s="33" t="s">
        <v>109</v>
      </c>
      <c r="D16" s="9">
        <v>0.1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0.05</v>
      </c>
      <c r="E17" s="33" t="s">
        <v>110</v>
      </c>
      <c r="F17" s="61">
        <f t="shared" si="1"/>
        <v>0</v>
      </c>
      <c r="L17" s="33" t="s">
        <v>114</v>
      </c>
      <c r="M17" s="39"/>
    </row>
    <row r="18" spans="1:13" x14ac:dyDescent="0.25">
      <c r="B18" s="64"/>
      <c r="C18" s="33" t="s">
        <v>109</v>
      </c>
      <c r="D18" s="9">
        <v>0.01</v>
      </c>
      <c r="E18" s="33" t="s">
        <v>110</v>
      </c>
      <c r="F18" s="61">
        <f t="shared" si="1"/>
        <v>0</v>
      </c>
      <c r="L18" t="s">
        <v>127</v>
      </c>
      <c r="M18" s="5">
        <f>ROUND(M16*M17,2)</f>
        <v>0</v>
      </c>
    </row>
    <row r="19" spans="1:13" x14ac:dyDescent="0.25">
      <c r="D19" t="s">
        <v>116</v>
      </c>
      <c r="F19" s="67">
        <f>SUM(F9:F14)</f>
        <v>0</v>
      </c>
    </row>
    <row r="20" spans="1:13" x14ac:dyDescent="0.25">
      <c r="D20" t="s">
        <v>117</v>
      </c>
      <c r="F20" s="69">
        <f>SUM(F15:F18)</f>
        <v>0</v>
      </c>
    </row>
    <row r="21" spans="1:13" x14ac:dyDescent="0.25">
      <c r="D21" t="s">
        <v>13</v>
      </c>
      <c r="F21" s="69">
        <f>SUM(F19:F20)+M18</f>
        <v>0</v>
      </c>
    </row>
    <row r="24" spans="1:13" x14ac:dyDescent="0.25">
      <c r="A24" t="s">
        <v>37</v>
      </c>
    </row>
    <row r="26" spans="1:13" x14ac:dyDescent="0.25">
      <c r="B26" s="64"/>
      <c r="C26" s="33" t="s">
        <v>109</v>
      </c>
      <c r="D26" s="53">
        <v>3</v>
      </c>
      <c r="E26" s="33" t="s">
        <v>110</v>
      </c>
      <c r="F26" s="54">
        <f>B26*D26</f>
        <v>0</v>
      </c>
      <c r="G26" t="s">
        <v>119</v>
      </c>
    </row>
    <row r="29" spans="1:13" x14ac:dyDescent="0.25">
      <c r="A29" t="s">
        <v>38</v>
      </c>
      <c r="F29" s="54"/>
      <c r="G29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M29"/>
  <sheetViews>
    <sheetView zoomScaleNormal="100" workbookViewId="0">
      <selection activeCell="B10" sqref="B10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3" x14ac:dyDescent="0.25">
      <c r="A1" t="s">
        <v>129</v>
      </c>
    </row>
    <row r="3" spans="1:13" x14ac:dyDescent="0.25">
      <c r="A3" t="s">
        <v>123</v>
      </c>
      <c r="B3" s="45">
        <v>43695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3" x14ac:dyDescent="0.25">
      <c r="A5" t="s">
        <v>102</v>
      </c>
    </row>
    <row r="6" spans="1:13" x14ac:dyDescent="0.25">
      <c r="K6" t="s">
        <v>108</v>
      </c>
    </row>
    <row r="7" spans="1:13" x14ac:dyDescent="0.25">
      <c r="A7" t="s">
        <v>103</v>
      </c>
    </row>
    <row r="8" spans="1:13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3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7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</row>
    <row r="10" spans="1:13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</row>
    <row r="11" spans="1:13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</row>
    <row r="12" spans="1:13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</row>
    <row r="13" spans="1:13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</row>
    <row r="14" spans="1:13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</row>
    <row r="15" spans="1:13" x14ac:dyDescent="0.25">
      <c r="B15" s="64"/>
      <c r="C15" s="33" t="s">
        <v>109</v>
      </c>
      <c r="D15" s="9">
        <v>0.25</v>
      </c>
      <c r="E15" s="33" t="s">
        <v>110</v>
      </c>
      <c r="F15" s="61">
        <f t="shared" si="1"/>
        <v>0</v>
      </c>
    </row>
    <row r="16" spans="1:13" x14ac:dyDescent="0.25">
      <c r="B16" s="64"/>
      <c r="C16" s="33" t="s">
        <v>109</v>
      </c>
      <c r="D16" s="9">
        <v>0.1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0.05</v>
      </c>
      <c r="E17" s="33" t="s">
        <v>110</v>
      </c>
      <c r="F17" s="61">
        <f t="shared" si="1"/>
        <v>0</v>
      </c>
      <c r="L17" s="33" t="s">
        <v>114</v>
      </c>
      <c r="M17" s="39"/>
    </row>
    <row r="18" spans="1:13" x14ac:dyDescent="0.25">
      <c r="L18" t="s">
        <v>127</v>
      </c>
      <c r="M18" s="5">
        <f>ROUND(M16*M17,2)</f>
        <v>0</v>
      </c>
    </row>
    <row r="19" spans="1:13" x14ac:dyDescent="0.25">
      <c r="D19" t="s">
        <v>116</v>
      </c>
      <c r="F19" s="67">
        <f>SUM(F9:F14)</f>
        <v>0</v>
      </c>
    </row>
    <row r="20" spans="1:13" x14ac:dyDescent="0.25">
      <c r="D20" t="s">
        <v>117</v>
      </c>
      <c r="F20" s="69">
        <f>SUM(F15:F18)</f>
        <v>0</v>
      </c>
    </row>
    <row r="21" spans="1:13" x14ac:dyDescent="0.25">
      <c r="D21" t="s">
        <v>13</v>
      </c>
      <c r="F21" s="69">
        <f>SUM(F19:F20)+M18</f>
        <v>0</v>
      </c>
    </row>
    <row r="24" spans="1:13" x14ac:dyDescent="0.25">
      <c r="A24" t="s">
        <v>37</v>
      </c>
    </row>
    <row r="26" spans="1:13" x14ac:dyDescent="0.25">
      <c r="B26" s="64"/>
      <c r="C26" s="33" t="s">
        <v>109</v>
      </c>
      <c r="D26" s="53">
        <v>3</v>
      </c>
      <c r="E26" s="33" t="s">
        <v>110</v>
      </c>
      <c r="F26" s="54">
        <f>B26*D26</f>
        <v>0</v>
      </c>
      <c r="G26" t="s">
        <v>119</v>
      </c>
    </row>
    <row r="29" spans="1:13" x14ac:dyDescent="0.25">
      <c r="A29" t="s">
        <v>38</v>
      </c>
      <c r="F29" s="54"/>
      <c r="G29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M29"/>
  <sheetViews>
    <sheetView zoomScaleNormal="100" workbookViewId="0">
      <selection activeCell="B10" sqref="B10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3" x14ac:dyDescent="0.25">
      <c r="A1" t="s">
        <v>129</v>
      </c>
    </row>
    <row r="3" spans="1:13" x14ac:dyDescent="0.25">
      <c r="A3" t="s">
        <v>123</v>
      </c>
      <c r="B3" s="45">
        <v>43702</v>
      </c>
      <c r="D3" t="str">
        <f>IF(WEEKDAY(B3)=1,"Sunday",IF(WEEKDAY(B3)=2,"Monday",IF(WEEKDAY(B3)=3,"Tuesday",IF(WEEKDAY(B3)=4,"Wednesday",IF(WEEKDAY(B3)=5,"Thursday",IF(WEEKDAY(B3)=6,"Friday",IF(WEEKDAY(B3)=7,"Saturday")))))))</f>
        <v>Sunday</v>
      </c>
    </row>
    <row r="5" spans="1:13" x14ac:dyDescent="0.25">
      <c r="A5" t="s">
        <v>102</v>
      </c>
    </row>
    <row r="6" spans="1:13" x14ac:dyDescent="0.25">
      <c r="K6" t="s">
        <v>108</v>
      </c>
    </row>
    <row r="7" spans="1:13" x14ac:dyDescent="0.25">
      <c r="A7" t="s">
        <v>103</v>
      </c>
    </row>
    <row r="8" spans="1:13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3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7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</row>
    <row r="10" spans="1:13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</row>
    <row r="11" spans="1:13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</row>
    <row r="12" spans="1:13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</row>
    <row r="13" spans="1:13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</row>
    <row r="14" spans="1:13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</row>
    <row r="15" spans="1:13" x14ac:dyDescent="0.25">
      <c r="B15" s="64"/>
      <c r="C15" s="33" t="s">
        <v>109</v>
      </c>
      <c r="D15" s="9">
        <v>0.25</v>
      </c>
      <c r="E15" s="33" t="s">
        <v>110</v>
      </c>
      <c r="F15" s="61">
        <f t="shared" si="1"/>
        <v>0</v>
      </c>
    </row>
    <row r="16" spans="1:13" x14ac:dyDescent="0.25">
      <c r="B16" s="64"/>
      <c r="C16" s="33" t="s">
        <v>109</v>
      </c>
      <c r="D16" s="9">
        <v>0.1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0.05</v>
      </c>
      <c r="E17" s="33" t="s">
        <v>110</v>
      </c>
      <c r="F17" s="61">
        <f t="shared" si="1"/>
        <v>0</v>
      </c>
      <c r="L17" s="33" t="s">
        <v>114</v>
      </c>
      <c r="M17" s="39"/>
    </row>
    <row r="18" spans="1:13" x14ac:dyDescent="0.25">
      <c r="L18" t="s">
        <v>127</v>
      </c>
      <c r="M18" s="5">
        <f>ROUND(M16*M17,2)</f>
        <v>0</v>
      </c>
    </row>
    <row r="19" spans="1:13" x14ac:dyDescent="0.25">
      <c r="D19" t="s">
        <v>116</v>
      </c>
      <c r="F19" s="67">
        <f>SUM(F9:F14)</f>
        <v>0</v>
      </c>
    </row>
    <row r="20" spans="1:13" x14ac:dyDescent="0.25">
      <c r="D20" t="s">
        <v>117</v>
      </c>
      <c r="F20" s="69">
        <f>SUM(F15:F18)</f>
        <v>0</v>
      </c>
    </row>
    <row r="21" spans="1:13" x14ac:dyDescent="0.25">
      <c r="D21" t="s">
        <v>13</v>
      </c>
      <c r="F21" s="69">
        <f>SUM(F19:F20)+M18</f>
        <v>0</v>
      </c>
    </row>
    <row r="24" spans="1:13" x14ac:dyDescent="0.25">
      <c r="A24" t="s">
        <v>37</v>
      </c>
    </row>
    <row r="26" spans="1:13" x14ac:dyDescent="0.25">
      <c r="B26" s="64"/>
      <c r="C26" s="33" t="s">
        <v>109</v>
      </c>
      <c r="D26" s="53">
        <v>3</v>
      </c>
      <c r="E26" s="33" t="s">
        <v>110</v>
      </c>
      <c r="F26" s="54">
        <f>B26*D26</f>
        <v>0</v>
      </c>
      <c r="G26" t="s">
        <v>119</v>
      </c>
    </row>
    <row r="29" spans="1:13" x14ac:dyDescent="0.25">
      <c r="A29" t="s">
        <v>38</v>
      </c>
      <c r="F29" s="54"/>
      <c r="G29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M29"/>
  <sheetViews>
    <sheetView zoomScaleNormal="100" workbookViewId="0">
      <selection activeCell="B3" sqref="B3"/>
    </sheetView>
  </sheetViews>
  <sheetFormatPr defaultRowHeight="15" x14ac:dyDescent="0.25"/>
  <cols>
    <col min="1" max="1" width="8.7109375" customWidth="1"/>
    <col min="2" max="2" width="10.140625" customWidth="1"/>
    <col min="3" max="1025" width="8.7109375" customWidth="1"/>
  </cols>
  <sheetData>
    <row r="1" spans="1:13" x14ac:dyDescent="0.25">
      <c r="A1" t="s">
        <v>129</v>
      </c>
    </row>
    <row r="3" spans="1:13" x14ac:dyDescent="0.25">
      <c r="A3" t="s">
        <v>123</v>
      </c>
      <c r="B3" s="45"/>
      <c r="D3" t="str">
        <f>IF(WEEKDAY(B3)=1,"Sunday",IF(WEEKDAY(B3)=2,"Monday",IF(WEEKDAY(B3)=3,"Tuesday",IF(WEEKDAY(B3)=4,"Wednesday",IF(WEEKDAY(B3)=5,"Thursday",IF(WEEKDAY(B3)=6,"Friday",IF(WEEKDAY(B3)=7,"Saturday")))))))</f>
        <v>Saturday</v>
      </c>
    </row>
    <row r="5" spans="1:13" x14ac:dyDescent="0.25">
      <c r="A5" t="s">
        <v>102</v>
      </c>
    </row>
    <row r="6" spans="1:13" x14ac:dyDescent="0.25">
      <c r="K6" t="s">
        <v>108</v>
      </c>
    </row>
    <row r="7" spans="1:13" x14ac:dyDescent="0.25">
      <c r="A7" t="s">
        <v>103</v>
      </c>
    </row>
    <row r="8" spans="1:13" x14ac:dyDescent="0.25">
      <c r="I8" s="64"/>
      <c r="J8" s="33" t="s">
        <v>109</v>
      </c>
      <c r="K8" s="53">
        <v>100</v>
      </c>
      <c r="L8" s="33"/>
      <c r="M8" s="54">
        <f t="shared" ref="M8:M14" si="0">I8*K8</f>
        <v>0</v>
      </c>
    </row>
    <row r="9" spans="1:13" x14ac:dyDescent="0.25">
      <c r="B9" s="64"/>
      <c r="C9" s="33" t="s">
        <v>109</v>
      </c>
      <c r="D9" s="53">
        <v>50</v>
      </c>
      <c r="E9" s="33" t="s">
        <v>110</v>
      </c>
      <c r="F9" s="54">
        <f t="shared" ref="F9:F17" si="1">B9*D9</f>
        <v>0</v>
      </c>
      <c r="I9" s="64"/>
      <c r="J9" s="33" t="s">
        <v>109</v>
      </c>
      <c r="K9" s="53">
        <v>50</v>
      </c>
      <c r="L9" s="33" t="s">
        <v>110</v>
      </c>
      <c r="M9" s="54">
        <f t="shared" si="0"/>
        <v>0</v>
      </c>
    </row>
    <row r="10" spans="1:13" x14ac:dyDescent="0.25">
      <c r="B10" s="64"/>
      <c r="C10" s="33" t="s">
        <v>109</v>
      </c>
      <c r="D10" s="53">
        <v>20</v>
      </c>
      <c r="E10" s="33" t="s">
        <v>110</v>
      </c>
      <c r="F10" s="54">
        <f t="shared" si="1"/>
        <v>0</v>
      </c>
      <c r="I10" s="64"/>
      <c r="J10" s="33" t="s">
        <v>109</v>
      </c>
      <c r="K10" s="53">
        <v>20</v>
      </c>
      <c r="L10" s="33" t="s">
        <v>110</v>
      </c>
      <c r="M10" s="54">
        <f t="shared" si="0"/>
        <v>0</v>
      </c>
    </row>
    <row r="11" spans="1:13" x14ac:dyDescent="0.25">
      <c r="B11" s="64"/>
      <c r="C11" s="33" t="s">
        <v>109</v>
      </c>
      <c r="D11" s="53">
        <v>10</v>
      </c>
      <c r="E11" s="33" t="s">
        <v>110</v>
      </c>
      <c r="F11" s="54">
        <f t="shared" si="1"/>
        <v>0</v>
      </c>
      <c r="I11" s="64"/>
      <c r="J11" s="33" t="s">
        <v>109</v>
      </c>
      <c r="K11" s="53">
        <v>10</v>
      </c>
      <c r="L11" s="33" t="s">
        <v>110</v>
      </c>
      <c r="M11" s="54">
        <f t="shared" si="0"/>
        <v>0</v>
      </c>
    </row>
    <row r="12" spans="1:13" x14ac:dyDescent="0.25">
      <c r="B12" s="64"/>
      <c r="C12" s="33" t="s">
        <v>109</v>
      </c>
      <c r="D12" s="53">
        <v>5</v>
      </c>
      <c r="E12" s="33" t="s">
        <v>110</v>
      </c>
      <c r="F12" s="54">
        <f t="shared" si="1"/>
        <v>0</v>
      </c>
      <c r="I12" s="64"/>
      <c r="J12" s="33" t="s">
        <v>109</v>
      </c>
      <c r="K12" s="53">
        <v>5</v>
      </c>
      <c r="L12" s="33" t="s">
        <v>110</v>
      </c>
      <c r="M12" s="54">
        <f t="shared" si="0"/>
        <v>0</v>
      </c>
    </row>
    <row r="13" spans="1:13" x14ac:dyDescent="0.25">
      <c r="B13" s="64"/>
      <c r="C13" s="33" t="s">
        <v>109</v>
      </c>
      <c r="D13" s="53">
        <v>2</v>
      </c>
      <c r="E13" s="33" t="s">
        <v>110</v>
      </c>
      <c r="F13" s="54">
        <f t="shared" si="1"/>
        <v>0</v>
      </c>
      <c r="I13" s="64"/>
      <c r="J13" s="33" t="s">
        <v>109</v>
      </c>
      <c r="K13" s="53">
        <v>2</v>
      </c>
      <c r="L13" s="33" t="s">
        <v>110</v>
      </c>
      <c r="M13" s="54">
        <f t="shared" si="0"/>
        <v>0</v>
      </c>
    </row>
    <row r="14" spans="1:13" x14ac:dyDescent="0.25">
      <c r="B14" s="64"/>
      <c r="C14" s="33" t="s">
        <v>109</v>
      </c>
      <c r="D14" s="53">
        <v>1</v>
      </c>
      <c r="E14" s="33" t="s">
        <v>110</v>
      </c>
      <c r="F14" s="54">
        <f t="shared" si="1"/>
        <v>0</v>
      </c>
      <c r="I14" s="64"/>
      <c r="J14" s="33" t="s">
        <v>109</v>
      </c>
      <c r="K14" s="53">
        <v>1</v>
      </c>
      <c r="L14" s="33" t="s">
        <v>110</v>
      </c>
      <c r="M14" s="54">
        <f t="shared" si="0"/>
        <v>0</v>
      </c>
    </row>
    <row r="15" spans="1:13" x14ac:dyDescent="0.25">
      <c r="B15" s="64"/>
      <c r="C15" s="33" t="s">
        <v>109</v>
      </c>
      <c r="D15" s="9">
        <v>0.25</v>
      </c>
      <c r="E15" s="33" t="s">
        <v>110</v>
      </c>
      <c r="F15" s="61">
        <f t="shared" si="1"/>
        <v>0</v>
      </c>
    </row>
    <row r="16" spans="1:13" x14ac:dyDescent="0.25">
      <c r="B16" s="64"/>
      <c r="C16" s="33" t="s">
        <v>109</v>
      </c>
      <c r="D16" s="9">
        <v>0.1</v>
      </c>
      <c r="E16" s="33" t="s">
        <v>110</v>
      </c>
      <c r="F16" s="61">
        <f t="shared" si="1"/>
        <v>0</v>
      </c>
      <c r="L16" s="33" t="s">
        <v>113</v>
      </c>
      <c r="M16" s="53">
        <f>SUM(M8:M14)</f>
        <v>0</v>
      </c>
    </row>
    <row r="17" spans="1:13" x14ac:dyDescent="0.25">
      <c r="B17" s="64"/>
      <c r="C17" s="33" t="s">
        <v>109</v>
      </c>
      <c r="D17" s="9">
        <v>0.05</v>
      </c>
      <c r="E17" s="33" t="s">
        <v>110</v>
      </c>
      <c r="F17" s="61">
        <f t="shared" si="1"/>
        <v>0</v>
      </c>
      <c r="L17" s="33" t="s">
        <v>114</v>
      </c>
      <c r="M17" s="39"/>
    </row>
    <row r="18" spans="1:13" x14ac:dyDescent="0.25">
      <c r="L18" t="s">
        <v>127</v>
      </c>
      <c r="M18" s="5">
        <f>ROUND(M16*M17,2)</f>
        <v>0</v>
      </c>
    </row>
    <row r="19" spans="1:13" x14ac:dyDescent="0.25">
      <c r="D19" t="s">
        <v>116</v>
      </c>
      <c r="F19" s="67">
        <f>SUM(F9:F14)</f>
        <v>0</v>
      </c>
    </row>
    <row r="20" spans="1:13" x14ac:dyDescent="0.25">
      <c r="D20" t="s">
        <v>117</v>
      </c>
      <c r="F20" s="69">
        <f>SUM(F15:F18)</f>
        <v>0</v>
      </c>
    </row>
    <row r="21" spans="1:13" x14ac:dyDescent="0.25">
      <c r="D21" t="s">
        <v>13</v>
      </c>
      <c r="F21" s="69">
        <f>SUM(F19:F20)+M18</f>
        <v>0</v>
      </c>
    </row>
    <row r="24" spans="1:13" x14ac:dyDescent="0.25">
      <c r="A24" t="s">
        <v>37</v>
      </c>
    </row>
    <row r="26" spans="1:13" x14ac:dyDescent="0.25">
      <c r="B26" s="64"/>
      <c r="C26" s="33" t="s">
        <v>109</v>
      </c>
      <c r="D26" s="53">
        <v>3</v>
      </c>
      <c r="E26" s="33" t="s">
        <v>110</v>
      </c>
      <c r="F26" s="54">
        <f>B26*D26</f>
        <v>0</v>
      </c>
      <c r="G26" t="s">
        <v>119</v>
      </c>
    </row>
    <row r="29" spans="1:13" x14ac:dyDescent="0.25">
      <c r="A29" t="s">
        <v>38</v>
      </c>
      <c r="F29" s="54"/>
      <c r="G29" t="s">
        <v>119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B2:D13"/>
  <sheetViews>
    <sheetView zoomScaleNormal="100" workbookViewId="0">
      <selection activeCell="D13" sqref="D13"/>
    </sheetView>
  </sheetViews>
  <sheetFormatPr defaultRowHeight="15" x14ac:dyDescent="0.25"/>
  <cols>
    <col min="1" max="1" width="8.7109375" customWidth="1"/>
    <col min="2" max="2" width="9.85546875" customWidth="1"/>
    <col min="3" max="3" width="8.7109375" customWidth="1"/>
    <col min="4" max="4" width="10.5703125" customWidth="1"/>
    <col min="5" max="1025" width="8.7109375" customWidth="1"/>
  </cols>
  <sheetData>
    <row r="2" spans="2:4" x14ac:dyDescent="0.25">
      <c r="B2" s="4" t="s">
        <v>123</v>
      </c>
      <c r="C2" s="4"/>
      <c r="D2" s="4" t="s">
        <v>73</v>
      </c>
    </row>
    <row r="3" spans="2:4" x14ac:dyDescent="0.25">
      <c r="B3" s="45">
        <f>'Concert Tally Sheets - 1'!B3</f>
        <v>43709</v>
      </c>
      <c r="D3" s="13">
        <f>'Concert Tally Sheets - 1'!F21</f>
        <v>0</v>
      </c>
    </row>
    <row r="4" spans="2:4" x14ac:dyDescent="0.25">
      <c r="B4" s="45"/>
      <c r="D4" s="13"/>
    </row>
    <row r="5" spans="2:4" x14ac:dyDescent="0.25">
      <c r="B5" s="45"/>
      <c r="D5" s="13"/>
    </row>
    <row r="6" spans="2:4" x14ac:dyDescent="0.25">
      <c r="B6" s="45"/>
      <c r="D6" s="13"/>
    </row>
    <row r="7" spans="2:4" x14ac:dyDescent="0.25">
      <c r="B7" s="45"/>
      <c r="D7" s="13"/>
    </row>
    <row r="8" spans="2:4" x14ac:dyDescent="0.25">
      <c r="D8" s="13"/>
    </row>
    <row r="9" spans="2:4" x14ac:dyDescent="0.25">
      <c r="C9" s="24" t="s">
        <v>130</v>
      </c>
      <c r="D9" s="13">
        <f>SUM(D3:D8)</f>
        <v>0</v>
      </c>
    </row>
    <row r="11" spans="2:4" x14ac:dyDescent="0.25">
      <c r="C11" t="s">
        <v>131</v>
      </c>
      <c r="D11" s="5">
        <f>D9</f>
        <v>0</v>
      </c>
    </row>
    <row r="13" spans="2:4" x14ac:dyDescent="0.25">
      <c r="C13" s="24" t="s">
        <v>132</v>
      </c>
      <c r="D13" s="13">
        <f>'[7]Concert Summary'!$D$11</f>
        <v>0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0E309B-EFA1-47D3-9BBB-702247E4AEB0}">
  <dimension ref="A1:AU49"/>
  <sheetViews>
    <sheetView zoomScale="85" zoomScaleNormal="85" workbookViewId="0">
      <selection activeCell="W12" sqref="W12"/>
    </sheetView>
  </sheetViews>
  <sheetFormatPr defaultRowHeight="15" x14ac:dyDescent="0.25"/>
  <cols>
    <col min="1" max="1" width="8.7109375" customWidth="1"/>
    <col min="2" max="2" width="10.28515625" customWidth="1"/>
    <col min="3" max="3" width="11.140625" customWidth="1"/>
    <col min="4" max="5" width="8.7109375" customWidth="1"/>
    <col min="6" max="6" width="10" customWidth="1"/>
    <col min="7" max="9" width="8.7109375" customWidth="1"/>
    <col min="10" max="10" width="11.28515625" customWidth="1"/>
    <col min="11" max="11" width="3.28515625" customWidth="1"/>
    <col min="12" max="15" width="8.7109375" customWidth="1"/>
    <col min="16" max="16" width="10.85546875" customWidth="1"/>
    <col min="17" max="17" width="8.7109375" customWidth="1"/>
    <col min="18" max="18" width="2.42578125" customWidth="1"/>
    <col min="19" max="21" width="8.7109375" customWidth="1"/>
    <col min="22" max="22" width="9.42578125" customWidth="1"/>
    <col min="23" max="23" width="10.5703125" customWidth="1"/>
    <col min="24" max="24" width="11.5703125" customWidth="1"/>
    <col min="25" max="25" width="10.5703125" customWidth="1"/>
    <col min="26" max="26" width="2.85546875" customWidth="1"/>
    <col min="27" max="27" width="9.7109375" customWidth="1"/>
    <col min="28" max="28" width="10" customWidth="1"/>
    <col min="29" max="29" width="9.5703125" customWidth="1"/>
    <col min="30" max="30" width="9.42578125" customWidth="1"/>
    <col min="31" max="31" width="10.7109375" customWidth="1"/>
    <col min="32" max="32" width="10.28515625" customWidth="1"/>
    <col min="33" max="33" width="2.85546875" customWidth="1"/>
    <col min="34" max="38" width="8.7109375" customWidth="1"/>
    <col min="39" max="39" width="9.85546875" customWidth="1"/>
    <col min="40" max="45" width="8.7109375" customWidth="1"/>
    <col min="46" max="46" width="11.5703125" bestFit="1" customWidth="1"/>
    <col min="47" max="1025" width="8.7109375" customWidth="1"/>
  </cols>
  <sheetData>
    <row r="1" spans="1:47" ht="23.25" x14ac:dyDescent="0.35">
      <c r="A1" s="4" t="s">
        <v>123</v>
      </c>
      <c r="B1" s="82">
        <v>44592</v>
      </c>
      <c r="E1" s="117" t="s">
        <v>158</v>
      </c>
      <c r="F1" s="117"/>
      <c r="G1" s="117"/>
      <c r="H1" s="117"/>
      <c r="I1" s="117"/>
      <c r="J1" s="117"/>
      <c r="K1" s="117"/>
      <c r="L1" s="117"/>
      <c r="M1" s="117"/>
      <c r="N1" s="117"/>
    </row>
    <row r="3" spans="1:47" x14ac:dyDescent="0.25">
      <c r="G3" s="80"/>
      <c r="H3" s="80"/>
      <c r="I3" s="80"/>
      <c r="J3" s="80"/>
    </row>
    <row r="4" spans="1:47" x14ac:dyDescent="0.25">
      <c r="F4" s="80"/>
      <c r="G4" s="80"/>
      <c r="H4" s="80"/>
      <c r="I4" s="80"/>
      <c r="J4" s="80"/>
    </row>
    <row r="6" spans="1:47" x14ac:dyDescent="0.25">
      <c r="E6" s="83"/>
      <c r="F6" s="84"/>
      <c r="G6" s="84"/>
      <c r="H6" s="84"/>
      <c r="I6" s="84"/>
      <c r="J6" s="84"/>
      <c r="K6" s="85"/>
      <c r="L6" s="84"/>
      <c r="M6" s="84"/>
      <c r="N6" s="84"/>
      <c r="O6" s="84"/>
      <c r="P6" s="84"/>
      <c r="Q6" s="84"/>
      <c r="R6" s="86"/>
      <c r="S6" s="87"/>
      <c r="T6" s="84"/>
      <c r="U6" s="84"/>
      <c r="V6" s="84"/>
      <c r="W6" s="84"/>
      <c r="X6" s="84"/>
      <c r="Y6" s="84"/>
      <c r="Z6" s="86"/>
      <c r="AA6" s="84"/>
      <c r="AB6" s="84"/>
      <c r="AC6" s="84"/>
      <c r="AD6" s="84"/>
      <c r="AE6" s="84"/>
      <c r="AF6" s="84"/>
      <c r="AG6" s="84"/>
      <c r="AH6" s="87"/>
      <c r="AI6" s="84"/>
      <c r="AJ6" s="84"/>
      <c r="AK6" s="84"/>
      <c r="AL6" s="84"/>
      <c r="AM6" s="84"/>
      <c r="AN6" s="86"/>
      <c r="AO6" s="84"/>
      <c r="AP6" s="84"/>
      <c r="AQ6" s="84"/>
      <c r="AR6" s="84"/>
      <c r="AS6" s="84"/>
      <c r="AT6" s="84"/>
      <c r="AU6" s="84"/>
    </row>
    <row r="7" spans="1:47" x14ac:dyDescent="0.25">
      <c r="E7" s="88" t="s">
        <v>133</v>
      </c>
      <c r="F7" s="80"/>
      <c r="G7" s="80"/>
      <c r="H7" s="80"/>
      <c r="I7" s="80"/>
      <c r="J7" s="80"/>
      <c r="K7" s="89"/>
      <c r="L7" s="80" t="s">
        <v>134</v>
      </c>
      <c r="M7" s="80"/>
      <c r="N7" s="80"/>
      <c r="O7" s="80"/>
      <c r="P7" s="80"/>
      <c r="Q7" s="80"/>
      <c r="R7" s="51"/>
      <c r="S7" s="36" t="s">
        <v>135</v>
      </c>
      <c r="T7" s="80"/>
      <c r="U7" s="80"/>
      <c r="V7" s="80"/>
      <c r="W7" s="80"/>
      <c r="X7" s="80"/>
      <c r="Y7" s="80"/>
      <c r="Z7" s="51"/>
      <c r="AA7" s="36" t="s">
        <v>136</v>
      </c>
      <c r="AB7" s="80"/>
      <c r="AC7" s="80"/>
      <c r="AD7" s="80"/>
      <c r="AE7" s="80"/>
      <c r="AF7" s="80"/>
      <c r="AG7" s="51"/>
      <c r="AH7" s="36" t="s">
        <v>137</v>
      </c>
      <c r="AI7" s="80"/>
      <c r="AJ7" s="80"/>
      <c r="AK7" s="80"/>
      <c r="AL7" s="80"/>
      <c r="AM7" s="80"/>
      <c r="AN7" s="51"/>
      <c r="AO7" s="36" t="s">
        <v>144</v>
      </c>
      <c r="AP7" s="80"/>
      <c r="AQ7" s="80"/>
      <c r="AR7" s="80"/>
      <c r="AS7" s="80"/>
      <c r="AT7" s="80"/>
      <c r="AU7" s="51"/>
    </row>
    <row r="8" spans="1:47" x14ac:dyDescent="0.25">
      <c r="E8" s="88"/>
      <c r="F8" s="80"/>
      <c r="G8" s="80"/>
      <c r="H8" s="80"/>
      <c r="I8" s="80"/>
      <c r="J8" s="56"/>
      <c r="K8" s="89"/>
      <c r="L8" s="80"/>
      <c r="N8" s="80"/>
      <c r="O8" s="80"/>
      <c r="P8" s="80"/>
      <c r="Q8" s="13"/>
      <c r="R8" s="51"/>
      <c r="S8" s="36"/>
      <c r="U8" s="80"/>
      <c r="V8" s="80"/>
      <c r="W8" s="80"/>
      <c r="X8" s="13"/>
      <c r="Y8" s="13"/>
      <c r="Z8" s="51"/>
      <c r="AA8" s="36"/>
      <c r="AC8" s="80"/>
      <c r="AD8" s="80"/>
      <c r="AE8" s="80"/>
      <c r="AF8" s="13"/>
      <c r="AG8" s="51"/>
      <c r="AH8" s="36"/>
      <c r="AI8" s="80"/>
      <c r="AJ8" s="80"/>
      <c r="AK8" s="80"/>
      <c r="AL8" s="80"/>
      <c r="AM8" s="80"/>
      <c r="AN8" s="51"/>
      <c r="AO8" s="36"/>
      <c r="AQ8" s="80"/>
      <c r="AR8" s="80"/>
      <c r="AS8" s="80"/>
      <c r="AT8" s="13"/>
      <c r="AU8" s="51"/>
    </row>
    <row r="9" spans="1:47" ht="15.75" thickBot="1" x14ac:dyDescent="0.3">
      <c r="E9" s="88"/>
      <c r="F9" s="80"/>
      <c r="G9" s="80"/>
      <c r="H9" s="80"/>
      <c r="I9" s="80"/>
      <c r="J9" s="80"/>
      <c r="K9" s="89"/>
      <c r="L9" s="80"/>
      <c r="M9" s="80"/>
      <c r="N9" s="80"/>
      <c r="O9" s="80"/>
      <c r="P9" s="80" t="s">
        <v>138</v>
      </c>
      <c r="Q9" s="80"/>
      <c r="R9" s="51"/>
      <c r="S9" s="36"/>
      <c r="T9" s="80"/>
      <c r="U9" s="80"/>
      <c r="V9" s="80"/>
      <c r="W9" s="80"/>
      <c r="X9" s="80"/>
      <c r="Y9" s="80" t="s">
        <v>139</v>
      </c>
      <c r="Z9" s="51"/>
      <c r="AA9" s="36"/>
      <c r="AB9" s="80"/>
      <c r="AC9" s="80"/>
      <c r="AD9" s="80"/>
      <c r="AE9" s="80"/>
      <c r="AF9" s="80"/>
      <c r="AG9" s="51"/>
      <c r="AH9" s="36"/>
      <c r="AI9" s="71"/>
      <c r="AJ9" s="55" t="s">
        <v>109</v>
      </c>
      <c r="AK9" s="56">
        <v>100</v>
      </c>
      <c r="AL9" s="55" t="s">
        <v>110</v>
      </c>
      <c r="AM9" s="54">
        <f t="shared" ref="AM9:AM20" si="0">AI9*AK9</f>
        <v>0</v>
      </c>
      <c r="AN9" s="51"/>
      <c r="AO9" s="36"/>
      <c r="AP9" s="80"/>
      <c r="AQ9" s="80"/>
      <c r="AR9" s="80"/>
      <c r="AS9" s="80"/>
      <c r="AT9" s="80"/>
      <c r="AU9" s="51"/>
    </row>
    <row r="10" spans="1:47" ht="15.75" thickBot="1" x14ac:dyDescent="0.3">
      <c r="A10" s="36" t="s">
        <v>121</v>
      </c>
      <c r="C10" s="69">
        <f>J10+Q10+X10+AF10+AT10</f>
        <v>1300</v>
      </c>
      <c r="D10" s="90"/>
      <c r="E10" s="88"/>
      <c r="F10" s="80" t="s">
        <v>140</v>
      </c>
      <c r="G10" s="80">
        <f>COUNTA(G12:G27)</f>
        <v>3</v>
      </c>
      <c r="H10" s="80"/>
      <c r="I10" s="80"/>
      <c r="J10" s="91">
        <f>SUM(J12:J27)</f>
        <v>1200</v>
      </c>
      <c r="K10" s="89"/>
      <c r="L10" s="80"/>
      <c r="M10" s="80" t="s">
        <v>140</v>
      </c>
      <c r="N10" s="80">
        <f>COUNTA(N12:N15)</f>
        <v>0</v>
      </c>
      <c r="O10" s="80"/>
      <c r="P10" s="80"/>
      <c r="Q10" s="91">
        <f>SUM(Q12:Q13)</f>
        <v>0</v>
      </c>
      <c r="R10" s="51"/>
      <c r="S10" s="36"/>
      <c r="T10" s="80" t="s">
        <v>140</v>
      </c>
      <c r="U10" s="80">
        <f>COUNTA(U12:U48)</f>
        <v>4</v>
      </c>
      <c r="V10" s="80"/>
      <c r="W10" s="80"/>
      <c r="X10" s="91">
        <f>SUM(X12:X47)</f>
        <v>100</v>
      </c>
      <c r="Y10" s="91">
        <f>SUM(Y12:Y47)</f>
        <v>3.49</v>
      </c>
      <c r="Z10" s="51"/>
      <c r="AA10" s="36"/>
      <c r="AB10" s="80" t="s">
        <v>140</v>
      </c>
      <c r="AC10" s="80">
        <f>COUNTA(AC12:AC20)</f>
        <v>0</v>
      </c>
      <c r="AD10" s="80"/>
      <c r="AE10" s="80"/>
      <c r="AF10" s="91">
        <f>SUM(AF12:AF18)</f>
        <v>0</v>
      </c>
      <c r="AG10" s="51"/>
      <c r="AH10" s="36"/>
      <c r="AI10" s="71"/>
      <c r="AJ10" s="55" t="s">
        <v>109</v>
      </c>
      <c r="AK10" s="56">
        <v>50</v>
      </c>
      <c r="AL10" s="55" t="s">
        <v>110</v>
      </c>
      <c r="AM10" s="54">
        <f t="shared" si="0"/>
        <v>0</v>
      </c>
      <c r="AN10" s="51"/>
      <c r="AO10" s="36"/>
      <c r="AP10" s="80" t="s">
        <v>140</v>
      </c>
      <c r="AQ10" s="80">
        <f>COUNTA(AQ12:AQ20)</f>
        <v>0</v>
      </c>
      <c r="AR10" s="80"/>
      <c r="AS10" s="80"/>
      <c r="AT10" s="91">
        <f>SUM(AT12:AT18)</f>
        <v>0</v>
      </c>
      <c r="AU10" s="51"/>
    </row>
    <row r="11" spans="1:47" ht="16.5" thickTop="1" thickBot="1" x14ac:dyDescent="0.3">
      <c r="E11" s="88"/>
      <c r="F11" s="80"/>
      <c r="G11" s="80"/>
      <c r="H11" s="80"/>
      <c r="I11" s="80"/>
      <c r="J11" s="80"/>
      <c r="K11" s="89"/>
      <c r="L11" s="80"/>
      <c r="M11" s="80"/>
      <c r="N11" s="80"/>
      <c r="O11" s="80"/>
      <c r="P11" s="80"/>
      <c r="R11" s="51"/>
      <c r="S11" s="36"/>
      <c r="T11" s="80"/>
      <c r="U11" s="80"/>
      <c r="V11" s="80"/>
      <c r="W11" s="80"/>
      <c r="Z11" s="51"/>
      <c r="AA11" s="36"/>
      <c r="AB11" s="80"/>
      <c r="AC11" s="80"/>
      <c r="AD11" s="80"/>
      <c r="AE11" s="80"/>
      <c r="AG11" s="51"/>
      <c r="AH11" s="36"/>
      <c r="AI11" s="71"/>
      <c r="AJ11" s="55" t="s">
        <v>109</v>
      </c>
      <c r="AK11" s="56">
        <v>20</v>
      </c>
      <c r="AL11" s="55" t="s">
        <v>110</v>
      </c>
      <c r="AM11" s="54">
        <f t="shared" si="0"/>
        <v>0</v>
      </c>
      <c r="AN11" s="51"/>
      <c r="AO11" s="36"/>
      <c r="AP11" s="80"/>
      <c r="AQ11" s="80"/>
      <c r="AR11" s="80"/>
      <c r="AS11" s="80"/>
      <c r="AU11" s="51"/>
    </row>
    <row r="12" spans="1:47" ht="15.75" thickBot="1" x14ac:dyDescent="0.3">
      <c r="C12" s="13"/>
      <c r="E12" s="88" t="s">
        <v>141</v>
      </c>
      <c r="F12" s="80"/>
      <c r="G12" t="s">
        <v>162</v>
      </c>
      <c r="J12" s="13">
        <v>100</v>
      </c>
      <c r="K12" s="89"/>
      <c r="L12" s="80" t="s">
        <v>141</v>
      </c>
      <c r="N12" s="80"/>
      <c r="O12" s="80"/>
      <c r="P12" s="80"/>
      <c r="Q12" s="13"/>
      <c r="R12" s="51"/>
      <c r="S12" s="80" t="s">
        <v>141</v>
      </c>
      <c r="U12" t="s">
        <v>159</v>
      </c>
      <c r="W12" s="45">
        <v>44712</v>
      </c>
      <c r="X12" s="110">
        <v>10</v>
      </c>
      <c r="Y12" s="110">
        <v>0.35</v>
      </c>
      <c r="Z12" s="51" t="s">
        <v>142</v>
      </c>
      <c r="AA12" s="80" t="s">
        <v>141</v>
      </c>
      <c r="AC12" s="80"/>
      <c r="AD12" s="80"/>
      <c r="AE12" s="92"/>
      <c r="AF12" s="13"/>
      <c r="AG12" s="51"/>
      <c r="AH12" s="36"/>
      <c r="AI12" s="71"/>
      <c r="AJ12" s="55" t="s">
        <v>109</v>
      </c>
      <c r="AK12" s="56">
        <v>10</v>
      </c>
      <c r="AL12" s="55" t="s">
        <v>110</v>
      </c>
      <c r="AM12" s="54">
        <f t="shared" si="0"/>
        <v>0</v>
      </c>
      <c r="AN12" s="51"/>
      <c r="AO12" s="80" t="s">
        <v>141</v>
      </c>
      <c r="AQ12" s="80"/>
      <c r="AR12" s="80"/>
      <c r="AS12" s="92"/>
      <c r="AT12" s="13"/>
      <c r="AU12" s="51"/>
    </row>
    <row r="13" spans="1:47" ht="15.75" thickBot="1" x14ac:dyDescent="0.3">
      <c r="E13" s="88"/>
      <c r="G13" t="s">
        <v>163</v>
      </c>
      <c r="J13" s="13">
        <v>100</v>
      </c>
      <c r="K13" s="89"/>
      <c r="L13" s="93"/>
      <c r="M13" s="93"/>
      <c r="N13" s="93"/>
      <c r="O13" s="93"/>
      <c r="P13" s="93"/>
      <c r="Q13" s="91"/>
      <c r="R13" s="94"/>
      <c r="S13" s="36"/>
      <c r="T13" s="80"/>
      <c r="U13" t="s">
        <v>155</v>
      </c>
      <c r="W13" s="45">
        <v>44712</v>
      </c>
      <c r="X13" s="110">
        <v>35</v>
      </c>
      <c r="Y13" s="110">
        <v>1.22</v>
      </c>
      <c r="Z13" s="51" t="s">
        <v>142</v>
      </c>
      <c r="AA13" s="80"/>
      <c r="AC13" s="80"/>
      <c r="AD13" s="80"/>
      <c r="AE13" s="80"/>
      <c r="AF13" s="13"/>
      <c r="AG13" s="51"/>
      <c r="AH13" s="36"/>
      <c r="AI13" s="71"/>
      <c r="AJ13" s="55" t="s">
        <v>109</v>
      </c>
      <c r="AK13" s="56">
        <v>5</v>
      </c>
      <c r="AL13" s="55" t="s">
        <v>110</v>
      </c>
      <c r="AM13" s="54">
        <f t="shared" si="0"/>
        <v>0</v>
      </c>
      <c r="AN13" s="51"/>
      <c r="AO13" s="80"/>
      <c r="AQ13" s="80"/>
      <c r="AR13" s="80"/>
      <c r="AS13" s="80"/>
      <c r="AT13" s="13"/>
      <c r="AU13" s="51"/>
    </row>
    <row r="14" spans="1:47" ht="15.75" thickBot="1" x14ac:dyDescent="0.3">
      <c r="E14" s="88"/>
      <c r="F14" s="80"/>
      <c r="G14" s="80" t="s">
        <v>164</v>
      </c>
      <c r="H14" s="80"/>
      <c r="I14" s="80"/>
      <c r="J14" s="13">
        <v>1000</v>
      </c>
      <c r="K14" s="89"/>
      <c r="S14" s="36"/>
      <c r="T14" s="80"/>
      <c r="U14" t="s">
        <v>156</v>
      </c>
      <c r="W14" s="45">
        <v>44711</v>
      </c>
      <c r="X14" s="110">
        <v>35</v>
      </c>
      <c r="Y14" s="110">
        <v>1.22</v>
      </c>
      <c r="Z14" s="51" t="s">
        <v>142</v>
      </c>
      <c r="AA14" s="80"/>
      <c r="AC14" s="80"/>
      <c r="AD14" s="80"/>
      <c r="AE14" s="80"/>
      <c r="AF14" s="13"/>
      <c r="AG14" s="51"/>
      <c r="AH14" s="36"/>
      <c r="AI14" s="71"/>
      <c r="AJ14" s="55" t="s">
        <v>109</v>
      </c>
      <c r="AK14" s="56">
        <v>2</v>
      </c>
      <c r="AL14" s="55" t="s">
        <v>110</v>
      </c>
      <c r="AM14" s="54">
        <f t="shared" si="0"/>
        <v>0</v>
      </c>
      <c r="AN14" s="51"/>
      <c r="AO14" s="80"/>
      <c r="AQ14" s="80"/>
      <c r="AR14" s="80"/>
      <c r="AS14" s="80"/>
      <c r="AT14" s="13"/>
      <c r="AU14" s="51"/>
    </row>
    <row r="15" spans="1:47" ht="15.75" thickBot="1" x14ac:dyDescent="0.3">
      <c r="E15" s="88"/>
      <c r="F15" s="80"/>
      <c r="G15" s="102"/>
      <c r="H15" s="80"/>
      <c r="I15" s="80"/>
      <c r="J15" s="13"/>
      <c r="K15" s="89"/>
      <c r="S15" s="36"/>
      <c r="T15" s="80"/>
      <c r="U15" t="s">
        <v>154</v>
      </c>
      <c r="W15" s="114">
        <v>44707</v>
      </c>
      <c r="X15" s="113">
        <v>20</v>
      </c>
      <c r="Y15" s="113">
        <v>0.7</v>
      </c>
      <c r="Z15" s="51" t="s">
        <v>142</v>
      </c>
      <c r="AA15" s="80"/>
      <c r="AC15" s="80"/>
      <c r="AF15" s="13"/>
      <c r="AG15" s="51"/>
      <c r="AH15" s="36"/>
      <c r="AI15" s="71"/>
      <c r="AJ15" s="55" t="s">
        <v>109</v>
      </c>
      <c r="AK15" s="56">
        <v>1</v>
      </c>
      <c r="AL15" s="55" t="s">
        <v>110</v>
      </c>
      <c r="AM15" s="54">
        <f t="shared" si="0"/>
        <v>0</v>
      </c>
      <c r="AN15" s="51"/>
      <c r="AO15" s="80"/>
      <c r="AQ15" s="80"/>
      <c r="AT15" s="13"/>
      <c r="AU15" s="51"/>
    </row>
    <row r="16" spans="1:47" ht="15.75" thickBot="1" x14ac:dyDescent="0.3">
      <c r="E16" s="88"/>
      <c r="F16" s="80"/>
      <c r="G16" s="102"/>
      <c r="H16" s="80"/>
      <c r="I16" s="80"/>
      <c r="J16" s="13"/>
      <c r="K16" s="89"/>
      <c r="S16" s="36"/>
      <c r="T16" s="80"/>
      <c r="W16" s="114"/>
      <c r="X16" s="110"/>
      <c r="Y16" s="110"/>
      <c r="Z16" s="51" t="s">
        <v>142</v>
      </c>
      <c r="AA16" s="80"/>
      <c r="AC16" s="80"/>
      <c r="AF16" s="13"/>
      <c r="AG16" s="51"/>
      <c r="AH16" s="36"/>
      <c r="AI16" s="71"/>
      <c r="AJ16" s="33" t="s">
        <v>109</v>
      </c>
      <c r="AK16" s="9">
        <v>0.5</v>
      </c>
      <c r="AL16" s="33" t="s">
        <v>110</v>
      </c>
      <c r="AM16" s="61">
        <f t="shared" si="0"/>
        <v>0</v>
      </c>
      <c r="AN16" s="51"/>
      <c r="AO16" s="80"/>
      <c r="AQ16" s="80"/>
      <c r="AT16" s="13"/>
      <c r="AU16" s="51"/>
    </row>
    <row r="17" spans="3:47" ht="19.5" thickBot="1" x14ac:dyDescent="0.35">
      <c r="E17" s="88"/>
      <c r="F17" s="80"/>
      <c r="G17" s="102"/>
      <c r="H17" s="80"/>
      <c r="I17" s="80"/>
      <c r="J17" s="13"/>
      <c r="K17" s="89"/>
      <c r="S17" s="36"/>
      <c r="T17" s="80"/>
      <c r="Z17" s="95" t="s">
        <v>142</v>
      </c>
      <c r="AA17" s="80"/>
      <c r="AC17" s="80"/>
      <c r="AF17" s="13"/>
      <c r="AG17" s="51"/>
      <c r="AH17" s="36"/>
      <c r="AI17" s="71"/>
      <c r="AJ17" s="55" t="s">
        <v>109</v>
      </c>
      <c r="AK17" s="90">
        <v>0.25</v>
      </c>
      <c r="AL17" s="55" t="s">
        <v>110</v>
      </c>
      <c r="AM17" s="61">
        <f t="shared" si="0"/>
        <v>0</v>
      </c>
      <c r="AN17" s="51"/>
      <c r="AO17" s="80"/>
      <c r="AQ17" s="80"/>
      <c r="AT17" s="13"/>
      <c r="AU17" s="51"/>
    </row>
    <row r="18" spans="3:47" ht="19.5" thickBot="1" x14ac:dyDescent="0.35">
      <c r="E18" s="88"/>
      <c r="F18" s="80"/>
      <c r="G18" s="102"/>
      <c r="H18" s="80"/>
      <c r="I18" s="80"/>
      <c r="J18" s="13"/>
      <c r="K18" s="95"/>
      <c r="S18" s="36"/>
      <c r="T18" s="80"/>
      <c r="Z18" s="51" t="s">
        <v>142</v>
      </c>
      <c r="AA18" s="96"/>
      <c r="AB18" s="93"/>
      <c r="AC18" s="93"/>
      <c r="AD18" s="93"/>
      <c r="AE18" s="93"/>
      <c r="AF18" s="91"/>
      <c r="AG18" s="94"/>
      <c r="AH18" s="36"/>
      <c r="AI18" s="71"/>
      <c r="AJ18" s="55" t="s">
        <v>109</v>
      </c>
      <c r="AK18" s="90">
        <v>0.1</v>
      </c>
      <c r="AL18" s="55" t="s">
        <v>110</v>
      </c>
      <c r="AM18" s="61">
        <f t="shared" si="0"/>
        <v>0</v>
      </c>
      <c r="AN18" s="51"/>
      <c r="AO18" s="96"/>
      <c r="AP18" s="93"/>
      <c r="AQ18" s="93"/>
      <c r="AR18" s="93"/>
      <c r="AS18" s="93"/>
      <c r="AT18" s="91"/>
      <c r="AU18" s="94"/>
    </row>
    <row r="19" spans="3:47" ht="15.75" thickBot="1" x14ac:dyDescent="0.3">
      <c r="E19" s="88"/>
      <c r="F19" s="80"/>
      <c r="G19" s="80"/>
      <c r="H19" s="80"/>
      <c r="I19" s="80"/>
      <c r="J19" s="13"/>
      <c r="K19" s="89"/>
      <c r="S19" s="36"/>
      <c r="T19" s="80"/>
      <c r="Z19" s="51" t="s">
        <v>142</v>
      </c>
      <c r="AH19" s="36"/>
      <c r="AI19" s="71"/>
      <c r="AJ19" s="55" t="s">
        <v>109</v>
      </c>
      <c r="AK19" s="90">
        <v>0.05</v>
      </c>
      <c r="AL19" s="55" t="s">
        <v>110</v>
      </c>
      <c r="AM19" s="61">
        <f t="shared" si="0"/>
        <v>0</v>
      </c>
      <c r="AN19" s="51"/>
    </row>
    <row r="20" spans="3:47" ht="15.75" thickBot="1" x14ac:dyDescent="0.3">
      <c r="E20" s="88"/>
      <c r="F20" s="80"/>
      <c r="G20" s="80"/>
      <c r="H20" s="80"/>
      <c r="I20" s="80"/>
      <c r="J20" s="13"/>
      <c r="K20" s="89"/>
      <c r="S20" s="36"/>
      <c r="T20" s="80"/>
      <c r="U20" s="102"/>
      <c r="W20" s="92"/>
      <c r="X20" s="13"/>
      <c r="Y20" s="13"/>
      <c r="Z20" s="51" t="s">
        <v>142</v>
      </c>
      <c r="AH20" s="36"/>
      <c r="AI20" s="71"/>
      <c r="AJ20" s="55" t="s">
        <v>109</v>
      </c>
      <c r="AK20" s="90">
        <v>0.01</v>
      </c>
      <c r="AL20" s="55" t="s">
        <v>110</v>
      </c>
      <c r="AM20" s="61">
        <f t="shared" si="0"/>
        <v>0</v>
      </c>
      <c r="AN20" s="51"/>
    </row>
    <row r="21" spans="3:47" ht="19.5" thickBot="1" x14ac:dyDescent="0.35">
      <c r="E21" s="88"/>
      <c r="F21" s="80"/>
      <c r="G21" s="80"/>
      <c r="H21" s="80"/>
      <c r="I21" s="80"/>
      <c r="J21" s="13"/>
      <c r="K21" s="89"/>
      <c r="S21" s="36"/>
      <c r="T21" s="80"/>
      <c r="U21" s="102"/>
      <c r="X21" s="106"/>
      <c r="Y21" s="106"/>
      <c r="Z21" s="95" t="s">
        <v>142</v>
      </c>
      <c r="AB21" s="3"/>
      <c r="AH21" s="36"/>
      <c r="AI21" s="80"/>
      <c r="AJ21" s="80"/>
      <c r="AK21" s="80" t="s">
        <v>116</v>
      </c>
      <c r="AL21" s="80"/>
      <c r="AM21" s="67">
        <f>SUM(AM9:AM15)</f>
        <v>0</v>
      </c>
      <c r="AN21" s="51"/>
    </row>
    <row r="22" spans="3:47" ht="16.5" thickTop="1" thickBot="1" x14ac:dyDescent="0.3">
      <c r="E22" s="88"/>
      <c r="F22" s="80"/>
      <c r="G22" s="80"/>
      <c r="H22" s="80"/>
      <c r="I22" s="80"/>
      <c r="J22" s="13"/>
      <c r="K22" s="89"/>
      <c r="S22" s="36"/>
      <c r="T22" s="80"/>
      <c r="U22" s="102"/>
      <c r="X22" s="106"/>
      <c r="Y22" s="106"/>
      <c r="Z22" s="51" t="s">
        <v>142</v>
      </c>
      <c r="AB22" s="3"/>
      <c r="AH22" s="36"/>
      <c r="AI22" s="80"/>
      <c r="AJ22" s="80"/>
      <c r="AK22" s="80" t="s">
        <v>117</v>
      </c>
      <c r="AL22" s="80"/>
      <c r="AM22" s="69">
        <f>SUM(AM17:AM20)</f>
        <v>0</v>
      </c>
      <c r="AN22" s="51"/>
    </row>
    <row r="23" spans="3:47" ht="15.75" thickTop="1" x14ac:dyDescent="0.25">
      <c r="C23" s="97"/>
      <c r="E23" s="88"/>
      <c r="F23" s="80"/>
      <c r="G23" s="80"/>
      <c r="H23" s="80"/>
      <c r="I23" s="80"/>
      <c r="J23" s="13"/>
      <c r="K23" s="89"/>
      <c r="S23" s="36"/>
      <c r="T23" s="80"/>
      <c r="Z23" s="51" t="s">
        <v>142</v>
      </c>
      <c r="AH23" s="96"/>
      <c r="AI23" s="93"/>
      <c r="AJ23" s="93"/>
      <c r="AK23" s="93" t="s">
        <v>13</v>
      </c>
      <c r="AL23" s="93"/>
      <c r="AM23" s="8">
        <f>SUM(AM21:AM22)+O20+J8</f>
        <v>0</v>
      </c>
      <c r="AN23" s="94"/>
    </row>
    <row r="24" spans="3:47" x14ac:dyDescent="0.25">
      <c r="E24" s="88"/>
      <c r="F24" s="80"/>
      <c r="G24" s="80"/>
      <c r="H24" s="80"/>
      <c r="I24" s="80"/>
      <c r="J24" s="13"/>
      <c r="K24" s="89"/>
      <c r="S24" s="36"/>
      <c r="T24" s="80"/>
      <c r="Z24" s="51" t="s">
        <v>142</v>
      </c>
      <c r="AA24" s="98"/>
    </row>
    <row r="25" spans="3:47" x14ac:dyDescent="0.25">
      <c r="E25" s="88"/>
      <c r="F25" s="80"/>
      <c r="G25" s="80"/>
      <c r="H25" s="80"/>
      <c r="I25" s="80"/>
      <c r="J25" s="13"/>
      <c r="K25" s="89"/>
      <c r="S25" s="36"/>
      <c r="T25" s="80"/>
      <c r="Z25" s="51" t="s">
        <v>142</v>
      </c>
    </row>
    <row r="26" spans="3:47" x14ac:dyDescent="0.25">
      <c r="E26" s="88"/>
      <c r="F26" s="80"/>
      <c r="G26" s="80"/>
      <c r="H26" s="80"/>
      <c r="I26" s="80"/>
      <c r="J26" s="13"/>
      <c r="K26" s="89"/>
      <c r="S26" s="36"/>
      <c r="T26" s="80"/>
      <c r="U26" s="102"/>
      <c r="W26" s="92"/>
      <c r="X26" s="13"/>
      <c r="Y26" s="13"/>
      <c r="Z26" s="51" t="s">
        <v>142</v>
      </c>
    </row>
    <row r="27" spans="3:47" x14ac:dyDescent="0.25">
      <c r="E27" s="99"/>
      <c r="F27" s="93"/>
      <c r="G27" s="93"/>
      <c r="H27" s="93"/>
      <c r="I27" s="93"/>
      <c r="J27" s="91"/>
      <c r="K27" s="100"/>
      <c r="S27" s="36"/>
      <c r="T27" s="80"/>
      <c r="U27" s="102"/>
      <c r="W27" s="92"/>
      <c r="X27" s="13"/>
      <c r="Y27" s="13"/>
      <c r="Z27" s="51" t="s">
        <v>142</v>
      </c>
    </row>
    <row r="28" spans="3:47" x14ac:dyDescent="0.25">
      <c r="S28" s="36"/>
      <c r="T28" s="80"/>
      <c r="U28" s="102"/>
      <c r="W28" s="92"/>
      <c r="X28" s="13"/>
      <c r="Y28" s="13"/>
      <c r="Z28" s="51" t="s">
        <v>142</v>
      </c>
    </row>
    <row r="29" spans="3:47" x14ac:dyDescent="0.25">
      <c r="S29" s="36"/>
      <c r="T29" s="80"/>
      <c r="U29" s="102"/>
      <c r="V29" s="45"/>
      <c r="W29" s="92"/>
      <c r="X29" s="13"/>
      <c r="Y29" s="13"/>
      <c r="Z29" s="51" t="s">
        <v>142</v>
      </c>
    </row>
    <row r="30" spans="3:47" x14ac:dyDescent="0.25">
      <c r="S30" s="36"/>
      <c r="T30" s="80"/>
      <c r="U30" s="102"/>
      <c r="W30" s="92"/>
      <c r="X30" s="13"/>
      <c r="Y30" s="13"/>
      <c r="Z30" s="51" t="s">
        <v>142</v>
      </c>
    </row>
    <row r="31" spans="3:47" x14ac:dyDescent="0.25">
      <c r="S31" s="36"/>
      <c r="T31" s="80"/>
      <c r="U31" s="102"/>
      <c r="W31" s="92"/>
      <c r="X31" s="13"/>
      <c r="Y31" s="13"/>
      <c r="Z31" s="51" t="s">
        <v>142</v>
      </c>
    </row>
    <row r="32" spans="3:47" x14ac:dyDescent="0.25">
      <c r="S32" s="36"/>
      <c r="T32" s="80"/>
      <c r="U32" s="102"/>
      <c r="W32" s="45"/>
      <c r="X32" s="13"/>
      <c r="Y32" s="13"/>
      <c r="Z32" s="51" t="s">
        <v>142</v>
      </c>
    </row>
    <row r="33" spans="16:26" x14ac:dyDescent="0.25">
      <c r="P33" s="97"/>
      <c r="S33" s="36"/>
      <c r="T33" s="80"/>
      <c r="U33" s="102"/>
      <c r="W33" s="45"/>
      <c r="X33" s="13"/>
      <c r="Y33" s="13"/>
      <c r="Z33" s="51" t="s">
        <v>142</v>
      </c>
    </row>
    <row r="34" spans="16:26" x14ac:dyDescent="0.25">
      <c r="S34" s="36"/>
      <c r="T34" s="80"/>
      <c r="U34" s="102"/>
      <c r="W34" s="45"/>
      <c r="X34" s="13"/>
      <c r="Y34" s="13"/>
      <c r="Z34" s="51"/>
    </row>
    <row r="35" spans="16:26" x14ac:dyDescent="0.25">
      <c r="S35" s="36"/>
      <c r="T35" s="80"/>
      <c r="U35" s="102"/>
      <c r="W35" s="45"/>
      <c r="X35" s="13"/>
      <c r="Y35" s="13"/>
      <c r="Z35" s="51"/>
    </row>
    <row r="36" spans="16:26" x14ac:dyDescent="0.25">
      <c r="S36" s="36"/>
      <c r="T36" s="80"/>
      <c r="U36" s="102"/>
      <c r="W36" s="45"/>
      <c r="X36" s="13"/>
      <c r="Y36" s="13"/>
      <c r="Z36" s="51"/>
    </row>
    <row r="37" spans="16:26" x14ac:dyDescent="0.25">
      <c r="S37" s="36"/>
      <c r="T37" s="80"/>
      <c r="U37" s="102"/>
      <c r="W37" s="45"/>
      <c r="X37" s="13"/>
      <c r="Y37" s="13"/>
      <c r="Z37" s="51" t="s">
        <v>142</v>
      </c>
    </row>
    <row r="38" spans="16:26" x14ac:dyDescent="0.25">
      <c r="S38" s="36"/>
      <c r="T38" s="80"/>
      <c r="U38" s="102"/>
      <c r="W38" s="45"/>
      <c r="X38" s="13"/>
      <c r="Y38" s="13"/>
      <c r="Z38" s="51" t="s">
        <v>142</v>
      </c>
    </row>
    <row r="39" spans="16:26" x14ac:dyDescent="0.25">
      <c r="S39" s="36"/>
      <c r="T39" s="80"/>
      <c r="U39" s="102"/>
      <c r="W39" s="45"/>
      <c r="X39" s="13"/>
      <c r="Y39" s="13"/>
      <c r="Z39" s="51" t="s">
        <v>142</v>
      </c>
    </row>
    <row r="40" spans="16:26" x14ac:dyDescent="0.25">
      <c r="S40" s="36"/>
      <c r="T40" s="80"/>
      <c r="U40" s="102"/>
      <c r="W40" s="45"/>
      <c r="X40" s="13"/>
      <c r="Y40" s="13"/>
      <c r="Z40" s="51" t="s">
        <v>142</v>
      </c>
    </row>
    <row r="41" spans="16:26" x14ac:dyDescent="0.25">
      <c r="S41" s="36"/>
      <c r="T41" s="80"/>
      <c r="U41" s="80"/>
      <c r="W41" s="45"/>
      <c r="X41" s="13"/>
      <c r="Y41" s="13"/>
      <c r="Z41" s="51" t="s">
        <v>142</v>
      </c>
    </row>
    <row r="42" spans="16:26" x14ac:dyDescent="0.25">
      <c r="S42" s="36"/>
      <c r="T42" s="80"/>
      <c r="U42" s="80"/>
      <c r="W42" s="45"/>
      <c r="X42" s="13"/>
      <c r="Y42" s="13"/>
      <c r="Z42" s="51" t="s">
        <v>142</v>
      </c>
    </row>
    <row r="43" spans="16:26" x14ac:dyDescent="0.25">
      <c r="S43" s="36"/>
      <c r="T43" s="80"/>
      <c r="U43" s="80"/>
      <c r="W43" s="45"/>
      <c r="X43" s="13"/>
      <c r="Y43" s="13"/>
      <c r="Z43" s="51" t="s">
        <v>142</v>
      </c>
    </row>
    <row r="44" spans="16:26" x14ac:dyDescent="0.25">
      <c r="S44" s="36"/>
      <c r="T44" s="80"/>
      <c r="U44" s="80"/>
      <c r="W44" s="45"/>
      <c r="X44" s="13"/>
      <c r="Y44" s="13"/>
      <c r="Z44" s="51" t="s">
        <v>142</v>
      </c>
    </row>
    <row r="45" spans="16:26" x14ac:dyDescent="0.25">
      <c r="S45" s="36"/>
      <c r="T45" s="80"/>
      <c r="U45" s="80"/>
      <c r="W45" s="45"/>
      <c r="X45" s="13"/>
      <c r="Y45" s="13"/>
      <c r="Z45" s="51" t="s">
        <v>142</v>
      </c>
    </row>
    <row r="46" spans="16:26" x14ac:dyDescent="0.25">
      <c r="S46" s="36"/>
      <c r="T46" s="80"/>
      <c r="U46" s="80"/>
      <c r="W46" s="45"/>
      <c r="X46" s="13"/>
      <c r="Y46" s="13"/>
      <c r="Z46" s="51" t="s">
        <v>142</v>
      </c>
    </row>
    <row r="47" spans="16:26" x14ac:dyDescent="0.25">
      <c r="S47" s="96"/>
      <c r="T47" s="93"/>
      <c r="U47" s="93"/>
      <c r="V47" s="93"/>
      <c r="W47" s="101"/>
      <c r="X47" s="91"/>
      <c r="Y47" s="91"/>
      <c r="Z47" s="94" t="s">
        <v>142</v>
      </c>
    </row>
    <row r="48" spans="16:26" x14ac:dyDescent="0.25">
      <c r="R48" t="s">
        <v>142</v>
      </c>
    </row>
    <row r="49" spans="19:19" x14ac:dyDescent="0.25">
      <c r="S49" t="s">
        <v>143</v>
      </c>
    </row>
  </sheetData>
  <mergeCells count="1">
    <mergeCell ref="E1:N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43E6-256F-41DF-B9E2-4D481C3FAA05}">
  <dimension ref="A2:V23"/>
  <sheetViews>
    <sheetView workbookViewId="0">
      <selection activeCell="E9" sqref="E9"/>
    </sheetView>
  </sheetViews>
  <sheetFormatPr defaultRowHeight="15" x14ac:dyDescent="0.25"/>
  <cols>
    <col min="1" max="2" width="9.140625" style="124"/>
    <col min="3" max="5" width="11.5703125" style="124" bestFit="1" customWidth="1"/>
    <col min="6" max="6" width="10.5703125" style="124" bestFit="1" customWidth="1"/>
    <col min="7" max="7" width="12.5703125" style="124" bestFit="1" customWidth="1"/>
    <col min="8" max="8" width="10.5703125" style="124" bestFit="1" customWidth="1"/>
    <col min="9" max="9" width="14.85546875" style="124" bestFit="1" customWidth="1"/>
    <col min="10" max="11" width="9.140625" style="124"/>
    <col min="12" max="14" width="12.5703125" style="124" bestFit="1" customWidth="1"/>
    <col min="15" max="15" width="14.5703125" style="124" bestFit="1" customWidth="1"/>
    <col min="16" max="16" width="11.5703125" style="124" bestFit="1" customWidth="1"/>
    <col min="17" max="16384" width="9.140625" style="124"/>
  </cols>
  <sheetData>
    <row r="2" spans="1:22" x14ac:dyDescent="0.25">
      <c r="C2" s="124" t="s">
        <v>209</v>
      </c>
      <c r="D2" s="124" t="s">
        <v>210</v>
      </c>
      <c r="E2" s="124" t="s">
        <v>97</v>
      </c>
      <c r="F2" s="124" t="s">
        <v>72</v>
      </c>
      <c r="G2" s="124" t="s">
        <v>211</v>
      </c>
      <c r="H2" s="124" t="s">
        <v>212</v>
      </c>
      <c r="J2" s="124" t="s">
        <v>213</v>
      </c>
      <c r="K2" s="124" t="s">
        <v>214</v>
      </c>
      <c r="L2" s="124" t="s">
        <v>44</v>
      </c>
      <c r="M2" s="123" t="s">
        <v>30</v>
      </c>
      <c r="N2" s="123"/>
      <c r="O2" s="124" t="s">
        <v>215</v>
      </c>
      <c r="P2" s="124" t="s">
        <v>216</v>
      </c>
    </row>
    <row r="3" spans="1:22" x14ac:dyDescent="0.25">
      <c r="A3" s="124" t="s">
        <v>217</v>
      </c>
      <c r="E3" s="127">
        <f>'[2]Building Fund'!$X$10</f>
        <v>2725</v>
      </c>
      <c r="F3" s="127">
        <f>'[2]Building Fund'!$Y$10</f>
        <v>107.97999999999999</v>
      </c>
      <c r="G3" s="130">
        <f>SUM('[10]Tax Receipts 2020'!E26:E28)</f>
        <v>350</v>
      </c>
      <c r="H3" s="125">
        <f>'[2]Sheet 3'!$F$30</f>
        <v>50</v>
      </c>
      <c r="I3" s="127">
        <f>L3-M3</f>
        <v>-50</v>
      </c>
      <c r="J3" s="127"/>
      <c r="K3" s="127"/>
      <c r="L3" s="125">
        <f>SUM(C3:H3)-F3</f>
        <v>3125</v>
      </c>
      <c r="M3" s="127">
        <f>'[2]Operating Statement'!$D$9</f>
        <v>3175</v>
      </c>
      <c r="N3" s="130">
        <f>M3</f>
        <v>3175</v>
      </c>
      <c r="O3" s="127">
        <f>[2]Chequing!$F$68</f>
        <v>120</v>
      </c>
      <c r="P3" s="127">
        <f>L3-O3-M3+[11]Chequing!$F$68</f>
        <v>-100</v>
      </c>
      <c r="Q3" s="127"/>
    </row>
    <row r="4" spans="1:22" x14ac:dyDescent="0.25">
      <c r="A4" s="124" t="s">
        <v>218</v>
      </c>
      <c r="E4" s="127">
        <f>'[13]Building Fund'!$X$10</f>
        <v>250</v>
      </c>
      <c r="F4" s="127">
        <f>'[13]Building Fund'!$Y$10</f>
        <v>8.9199999999999982</v>
      </c>
      <c r="G4" s="130">
        <f>SUM('[10]Tax Receipts 2020'!E29:E31,'[10]Tax Receipts 2020'!E34)</f>
        <v>3455</v>
      </c>
      <c r="H4" s="127">
        <f>'[13]Sheet 5'!$F$30</f>
        <v>2</v>
      </c>
      <c r="I4" s="127">
        <f t="shared" ref="I4:I15" si="0">L4-M4</f>
        <v>25</v>
      </c>
      <c r="J4" s="127"/>
      <c r="K4" s="127"/>
      <c r="L4" s="125">
        <f t="shared" ref="L4:L14" si="1">SUM(C4:H4)-F4</f>
        <v>3707</v>
      </c>
      <c r="M4" s="127">
        <f>'[13]Operating Statement'!$D$9</f>
        <v>3682</v>
      </c>
      <c r="N4" s="130">
        <f>N3+M4</f>
        <v>6857</v>
      </c>
      <c r="O4" s="127">
        <f>[13]Chequing!$F$68</f>
        <v>145</v>
      </c>
      <c r="P4" s="127">
        <f t="shared" ref="P4:P14" si="2">L4-O4-M4+O3</f>
        <v>0</v>
      </c>
      <c r="Q4" s="127"/>
    </row>
    <row r="5" spans="1:22" x14ac:dyDescent="0.25">
      <c r="A5" s="124" t="s">
        <v>219</v>
      </c>
      <c r="C5" s="125">
        <f>'[10]Tax Receipts 2020'!E25</f>
        <v>55</v>
      </c>
      <c r="E5" s="127">
        <f>'[14]Building Fund'!$X$10</f>
        <v>17025</v>
      </c>
      <c r="F5" s="127">
        <f>'[14]Building Fund'!$Y$10</f>
        <v>643.09000000000026</v>
      </c>
      <c r="G5" s="130">
        <f>SUM('[10]Tax Receipts 2020'!E32:E33,'[10]Tax Receipts 2020'!E35:E82)-'[10]Tax Receipts 2020'!E49</f>
        <v>60684</v>
      </c>
      <c r="H5" s="127">
        <f>'[14]Building Fund - 2'!$AF$12+'[14]Sheet 7'!$F$30+'[14]Sheet 10'!$F$30+'[14]Sheet 12'!$F$30</f>
        <v>16</v>
      </c>
      <c r="I5" s="127">
        <f t="shared" si="0"/>
        <v>2125</v>
      </c>
      <c r="J5" s="127"/>
      <c r="K5" s="127"/>
      <c r="L5" s="125">
        <f t="shared" si="1"/>
        <v>77780</v>
      </c>
      <c r="M5" s="127">
        <f>'[14]Operating Statement'!$D$9</f>
        <v>75655</v>
      </c>
      <c r="N5" s="130">
        <f t="shared" ref="N5:N14" si="3">N4+M5</f>
        <v>82512</v>
      </c>
      <c r="O5" s="127">
        <f>[14]Chequing!$F$68</f>
        <v>2270</v>
      </c>
      <c r="P5" s="127">
        <f t="shared" si="2"/>
        <v>0</v>
      </c>
      <c r="Q5" s="127"/>
    </row>
    <row r="6" spans="1:22" x14ac:dyDescent="0.25">
      <c r="A6" s="124" t="s">
        <v>220</v>
      </c>
      <c r="C6" s="127"/>
      <c r="D6" s="127">
        <f>'[10]Tax Receipts 2020'!E113</f>
        <v>50</v>
      </c>
      <c r="E6" s="127">
        <f>'[7]Building Fund'!$X$10</f>
        <v>975</v>
      </c>
      <c r="F6" s="127">
        <f>'[7]Building Fund'!$Y$10</f>
        <v>36.230000000000011</v>
      </c>
      <c r="G6" s="130">
        <f>SUM('[10]Tax Receipts 2020'!E83:E97)+'[10]Tax Receipts 2020'!E49+SUM('[10]Tax Receipts 2020'!E99:E100)+'[10]Tax Receipts 2020'!E102+SUM('[10]Tax Receipts 2020'!E105:E108)+SUM('[10]Tax Receipts 2020'!E110:E111)+SUM('[10]Tax Receipts 2020'!E128:E129)</f>
        <v>11065</v>
      </c>
      <c r="H6" s="127">
        <f>'[7]Sheet 9'!$F$30+'[7]Building Fund'!$AF$12</f>
        <v>22</v>
      </c>
      <c r="I6" s="127">
        <f t="shared" si="0"/>
        <v>-2000</v>
      </c>
      <c r="J6" s="127"/>
      <c r="K6" s="127"/>
      <c r="L6" s="125">
        <f t="shared" si="1"/>
        <v>12112</v>
      </c>
      <c r="M6" s="127">
        <f>'[7]Operating Statement'!$D$9</f>
        <v>14112</v>
      </c>
      <c r="N6" s="130">
        <f t="shared" si="3"/>
        <v>96624</v>
      </c>
      <c r="O6" s="127">
        <f>[7]Chequing!$F$68</f>
        <v>270</v>
      </c>
      <c r="P6" s="127">
        <f t="shared" si="2"/>
        <v>0</v>
      </c>
      <c r="Q6" s="127"/>
    </row>
    <row r="7" spans="1:22" x14ac:dyDescent="0.25">
      <c r="A7" s="124" t="s">
        <v>221</v>
      </c>
      <c r="E7" s="127">
        <f>'[3]Building Fund'!$X$10</f>
        <v>12730.21</v>
      </c>
      <c r="F7" s="127">
        <f>'[3]Building Fund'!$Y$10</f>
        <v>398.85000000000008</v>
      </c>
      <c r="G7" s="130">
        <f>'[10]Tax Receipts 2020'!E98+'[10]Tax Receipts 2020'!E101+SUM('[10]Tax Receipts 2020'!E103:E104)+'[10]Tax Receipts 2020'!E109+'[10]Tax Receipts 2020'!E112+SUM('[10]Tax Receipts 2020'!E114:E127)+SUM('[10]Tax Receipts 2020'!E130:E138)+SUM('[10]Tax Receipts 2020'!E143:E144)+'[10]Tax Receipts 2020'!E141</f>
        <v>3337</v>
      </c>
      <c r="H7" s="127">
        <f>'[3]Building Fund - 2'!$AF$12</f>
        <v>20</v>
      </c>
      <c r="I7" s="127">
        <f t="shared" si="0"/>
        <v>-150.00000000000182</v>
      </c>
      <c r="J7" s="127"/>
      <c r="K7" s="127"/>
      <c r="L7" s="125">
        <f t="shared" si="1"/>
        <v>16087.209999999997</v>
      </c>
      <c r="M7" s="127">
        <f>'[3]Operating Statement'!$D$9</f>
        <v>16237.21</v>
      </c>
      <c r="N7" s="130">
        <f t="shared" si="3"/>
        <v>112861.20999999999</v>
      </c>
      <c r="O7" s="127">
        <f>[3]Chequing!$F$68</f>
        <v>120</v>
      </c>
      <c r="P7" s="127">
        <f t="shared" si="2"/>
        <v>-1.8189894035458565E-12</v>
      </c>
      <c r="Q7" s="127"/>
    </row>
    <row r="8" spans="1:22" x14ac:dyDescent="0.25">
      <c r="A8" s="124" t="s">
        <v>222</v>
      </c>
      <c r="C8" s="125"/>
      <c r="E8" s="127">
        <f>'[8]Building Fund'!$X$10</f>
        <v>9425</v>
      </c>
      <c r="F8" s="127">
        <f>'[8]Building Fund'!$Y$10</f>
        <v>363.11</v>
      </c>
      <c r="G8" s="130">
        <f>SUM('[10]Tax Receipts 2020'!E145:E151)+'[10]Tax Receipts 2020'!E153</f>
        <v>5710</v>
      </c>
      <c r="H8" s="127">
        <f>'[8]Net Shed Tally Sheets - 1'!$F$30</f>
        <v>10</v>
      </c>
      <c r="I8" s="127">
        <f t="shared" si="0"/>
        <v>-50</v>
      </c>
      <c r="J8" s="127"/>
      <c r="K8" s="127"/>
      <c r="L8" s="125">
        <f t="shared" si="1"/>
        <v>15145</v>
      </c>
      <c r="M8" s="127">
        <f>'[8]Operating Statement'!$D$9</f>
        <v>15195</v>
      </c>
      <c r="N8" s="130">
        <f t="shared" si="3"/>
        <v>128056.20999999999</v>
      </c>
      <c r="O8" s="127">
        <f>[8]Chequing!$F$70</f>
        <v>70</v>
      </c>
      <c r="P8" s="127">
        <f t="shared" si="2"/>
        <v>0</v>
      </c>
      <c r="Q8" s="127"/>
    </row>
    <row r="9" spans="1:22" x14ac:dyDescent="0.25">
      <c r="A9" s="124" t="s">
        <v>223</v>
      </c>
      <c r="C9" s="127">
        <f>'[10]Tax Receipts 2020'!E152</f>
        <v>160</v>
      </c>
      <c r="E9" s="127">
        <f>'[15]Building Fund'!$X$10</f>
        <v>5308</v>
      </c>
      <c r="F9" s="127">
        <f>'[15]Building Fund'!$Y$10</f>
        <v>202.26999999999992</v>
      </c>
      <c r="G9" s="130">
        <f>'[10]Tax Receipts 2020'!E142+SUM('[10]Tax Receipts 2020'!E139:E140)+SUM('[10]Tax Receipts 2020'!E154:E160)+'[10]Tax Receipts 2020'!E162</f>
        <v>34900</v>
      </c>
      <c r="H9" s="127">
        <v>0</v>
      </c>
      <c r="I9" s="127">
        <f t="shared" si="0"/>
        <v>480</v>
      </c>
      <c r="J9" s="127"/>
      <c r="K9" s="127"/>
      <c r="L9" s="125">
        <f>SUM(C9:H9)-F9</f>
        <v>40368</v>
      </c>
      <c r="M9" s="127">
        <f>'[15]Operating Statement'!$D$9</f>
        <v>39888</v>
      </c>
      <c r="N9" s="130">
        <f t="shared" si="3"/>
        <v>167944.21</v>
      </c>
      <c r="O9" s="127">
        <f>[15]Chequing!$F$70</f>
        <v>550</v>
      </c>
      <c r="P9" s="127">
        <f t="shared" si="2"/>
        <v>0</v>
      </c>
      <c r="Q9" s="131"/>
      <c r="R9" s="123"/>
      <c r="S9" s="123"/>
      <c r="T9" s="123"/>
      <c r="U9" s="123"/>
      <c r="V9" s="123"/>
    </row>
    <row r="10" spans="1:22" x14ac:dyDescent="0.25">
      <c r="A10" s="124" t="s">
        <v>224</v>
      </c>
      <c r="C10" s="127">
        <f>'[10]Tax Receipts 2020'!E161</f>
        <v>1500</v>
      </c>
      <c r="E10" s="127">
        <f>'[16]Building Fund'!$X$10</f>
        <v>125</v>
      </c>
      <c r="F10" s="127">
        <f>'[16]Building Fund'!$Y$10</f>
        <v>4.3599999999999994</v>
      </c>
      <c r="G10" s="130">
        <f>SUM('[10]Tax Receipts 2020'!E165)+'[10]Tax Receipts 2020'!E163</f>
        <v>65</v>
      </c>
      <c r="H10" s="127">
        <f>'[16]Net Shed Tally Sheets - 1'!$F$30</f>
        <v>20</v>
      </c>
      <c r="I10" s="127">
        <f t="shared" si="0"/>
        <v>-480</v>
      </c>
      <c r="J10" s="127"/>
      <c r="K10" s="127"/>
      <c r="L10" s="125">
        <f>SUM(C10:H10)-F10</f>
        <v>1710</v>
      </c>
      <c r="M10" s="127">
        <f>'[16]Operating Statement'!$D$9</f>
        <v>2190</v>
      </c>
      <c r="N10" s="130">
        <f t="shared" si="3"/>
        <v>170134.21</v>
      </c>
      <c r="O10" s="127">
        <f>[16]Chequing!$F$70</f>
        <v>70</v>
      </c>
      <c r="P10" s="127">
        <f t="shared" si="2"/>
        <v>0</v>
      </c>
    </row>
    <row r="11" spans="1:22" x14ac:dyDescent="0.25">
      <c r="A11" s="124" t="s">
        <v>225</v>
      </c>
      <c r="E11" s="127">
        <f>'[17]Building Fund'!$X$10</f>
        <v>75</v>
      </c>
      <c r="F11" s="127">
        <f>'[17]Building Fund'!$Y$10</f>
        <v>2.6199999999999997</v>
      </c>
      <c r="G11" s="130">
        <f>'[10]Tax Receipts 2020'!E167+'[10]Tax Receipts 2020'!E174+1750</f>
        <v>1880</v>
      </c>
      <c r="H11" s="127"/>
      <c r="I11" s="127">
        <f t="shared" si="0"/>
        <v>0</v>
      </c>
      <c r="J11" s="127"/>
      <c r="K11" s="127"/>
      <c r="L11" s="125">
        <f t="shared" si="1"/>
        <v>1955</v>
      </c>
      <c r="M11" s="127">
        <f>'[17]Operating Statement'!$D$9</f>
        <v>1955</v>
      </c>
      <c r="N11" s="130">
        <f t="shared" si="3"/>
        <v>172089.21</v>
      </c>
      <c r="O11" s="127">
        <f>[17]Chequing!$F$70</f>
        <v>70</v>
      </c>
      <c r="P11" s="127">
        <f t="shared" si="2"/>
        <v>0</v>
      </c>
    </row>
    <row r="12" spans="1:22" x14ac:dyDescent="0.25">
      <c r="A12" s="124" t="s">
        <v>226</v>
      </c>
      <c r="E12" s="127">
        <f>'[18]Building Fund'!$X$10</f>
        <v>100</v>
      </c>
      <c r="F12" s="127">
        <f>'[18]Building Fund'!$Y$10</f>
        <v>3.56</v>
      </c>
      <c r="G12" s="130">
        <f>'[10]Tax Receipts 2020'!E166+SUM('[10]Tax Receipts 2020'!E169:E173)+SUM('[10]Tax Receipts 2020'!E175:E176)</f>
        <v>300</v>
      </c>
      <c r="H12" s="127">
        <f>'[18]Building Fund'!$AF$12</f>
        <v>150</v>
      </c>
      <c r="I12" s="127">
        <f t="shared" si="0"/>
        <v>0</v>
      </c>
      <c r="J12" s="127"/>
      <c r="K12" s="127"/>
      <c r="L12" s="125">
        <f t="shared" si="1"/>
        <v>550</v>
      </c>
      <c r="M12" s="127">
        <f>'[18]Operating Statement'!$D$9</f>
        <v>550</v>
      </c>
      <c r="N12" s="130">
        <f t="shared" si="3"/>
        <v>172639.21</v>
      </c>
      <c r="O12" s="127">
        <f>[18]Chequing!$F$70</f>
        <v>70</v>
      </c>
      <c r="P12" s="127">
        <f t="shared" si="2"/>
        <v>0</v>
      </c>
    </row>
    <row r="13" spans="1:22" x14ac:dyDescent="0.25">
      <c r="A13" s="124" t="s">
        <v>227</v>
      </c>
      <c r="C13" s="127"/>
      <c r="E13" s="127">
        <f>'[19]Building Fund'!$X$10</f>
        <v>75</v>
      </c>
      <c r="F13" s="127">
        <f>'[19]Building Fund'!$Y$10</f>
        <v>2.6199999999999997</v>
      </c>
      <c r="G13" s="132">
        <v>0</v>
      </c>
      <c r="H13" s="127"/>
      <c r="I13" s="127">
        <f t="shared" si="0"/>
        <v>0</v>
      </c>
      <c r="J13" s="127"/>
      <c r="K13" s="127"/>
      <c r="L13" s="125">
        <f t="shared" si="1"/>
        <v>75</v>
      </c>
      <c r="M13" s="127">
        <f>'[19]Operating Statement'!$D$9</f>
        <v>75</v>
      </c>
      <c r="N13" s="130">
        <f t="shared" si="3"/>
        <v>172714.21</v>
      </c>
      <c r="O13" s="127">
        <f>[19]Chequing!$F$70</f>
        <v>70</v>
      </c>
      <c r="P13" s="127">
        <f t="shared" si="2"/>
        <v>0</v>
      </c>
      <c r="S13" s="127"/>
    </row>
    <row r="14" spans="1:22" x14ac:dyDescent="0.25">
      <c r="A14" s="124" t="s">
        <v>228</v>
      </c>
      <c r="E14" s="127">
        <f>'[4]Building Fund'!$X$10</f>
        <v>125</v>
      </c>
      <c r="F14" s="127">
        <f>'[4]Building Fund'!$Y$10</f>
        <v>4.3599999999999994</v>
      </c>
      <c r="G14" s="130">
        <v>0</v>
      </c>
      <c r="H14" s="130">
        <f>'[4]Net Shed Tally Sheets - 1'!$F$30</f>
        <v>0.68</v>
      </c>
      <c r="I14" s="127">
        <f t="shared" si="0"/>
        <v>50.000000000000014</v>
      </c>
      <c r="J14" s="127"/>
      <c r="K14" s="127"/>
      <c r="L14" s="125">
        <f t="shared" si="1"/>
        <v>125.68000000000002</v>
      </c>
      <c r="M14" s="127">
        <f>'[4]Operating Statement'!$D$9</f>
        <v>75.680000000000007</v>
      </c>
      <c r="N14" s="130">
        <f t="shared" si="3"/>
        <v>172789.88999999998</v>
      </c>
      <c r="O14" s="127">
        <f>[4]Chequing!$F$70</f>
        <v>120</v>
      </c>
      <c r="P14" s="127">
        <f t="shared" si="2"/>
        <v>0</v>
      </c>
    </row>
    <row r="15" spans="1:22" x14ac:dyDescent="0.25">
      <c r="C15" s="125">
        <f>SUM(C3:C14)</f>
        <v>1715</v>
      </c>
      <c r="D15" s="125">
        <f t="shared" ref="D15:M15" si="4">SUM(D3:D14)</f>
        <v>50</v>
      </c>
      <c r="E15" s="126">
        <f t="shared" si="4"/>
        <v>48938.21</v>
      </c>
      <c r="F15" s="125">
        <f t="shared" si="4"/>
        <v>1777.9699999999998</v>
      </c>
      <c r="G15" s="125">
        <f t="shared" si="4"/>
        <v>121746</v>
      </c>
      <c r="H15" s="125">
        <f t="shared" si="4"/>
        <v>290.68</v>
      </c>
      <c r="I15" s="127">
        <f t="shared" si="0"/>
        <v>-50</v>
      </c>
      <c r="J15" s="125">
        <f t="shared" si="4"/>
        <v>0</v>
      </c>
      <c r="K15" s="125">
        <f t="shared" si="4"/>
        <v>0</v>
      </c>
      <c r="L15" s="125">
        <f>SUM(L3:L14)</f>
        <v>172739.88999999998</v>
      </c>
      <c r="M15" s="125">
        <f t="shared" si="4"/>
        <v>172789.88999999998</v>
      </c>
      <c r="N15" s="127"/>
    </row>
    <row r="16" spans="1:22" x14ac:dyDescent="0.25">
      <c r="G16" s="127">
        <f>Events!Q15</f>
        <v>0</v>
      </c>
    </row>
    <row r="17" spans="4:14" x14ac:dyDescent="0.25">
      <c r="E17" s="127">
        <f>E15-[10]CanadaHelps!E159</f>
        <v>2</v>
      </c>
      <c r="L17" s="127"/>
      <c r="M17" s="127">
        <f>L15-'[4]Operating Statement'!$G$9</f>
        <v>-50</v>
      </c>
      <c r="N17" s="127"/>
    </row>
    <row r="18" spans="4:14" x14ac:dyDescent="0.25">
      <c r="G18" s="127">
        <f>G15+G16</f>
        <v>121746</v>
      </c>
      <c r="J18" s="127"/>
      <c r="L18" s="127"/>
    </row>
    <row r="19" spans="4:14" x14ac:dyDescent="0.25">
      <c r="D19" s="133" t="s">
        <v>17</v>
      </c>
      <c r="E19" s="127">
        <f>[11]Chequing!$F$68</f>
        <v>70</v>
      </c>
      <c r="F19" s="124" t="s">
        <v>229</v>
      </c>
      <c r="H19" s="127"/>
      <c r="N19" s="127"/>
    </row>
    <row r="20" spans="4:14" x14ac:dyDescent="0.25">
      <c r="E20" s="127">
        <f>[4]Chequing!$F$68</f>
        <v>120</v>
      </c>
      <c r="F20" s="124" t="s">
        <v>230</v>
      </c>
    </row>
    <row r="22" spans="4:14" x14ac:dyDescent="0.25">
      <c r="D22" s="124" t="s">
        <v>27</v>
      </c>
      <c r="E22" s="127">
        <f>[11]Chequing!$F$58</f>
        <v>2.4499999999999997</v>
      </c>
      <c r="F22" s="124" t="s">
        <v>229</v>
      </c>
    </row>
    <row r="23" spans="4:14" x14ac:dyDescent="0.25">
      <c r="E23" s="127">
        <f>[4]Chequing!$F$58</f>
        <v>4.1899999999999995</v>
      </c>
      <c r="F23" s="124" t="s">
        <v>230</v>
      </c>
    </row>
  </sheetData>
  <mergeCells count="2">
    <mergeCell ref="M2:N2"/>
    <mergeCell ref="Q9:V9"/>
  </mergeCell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BD66B-CF25-455C-92F6-298BF31ABBDB}">
  <dimension ref="A2:U17"/>
  <sheetViews>
    <sheetView workbookViewId="0">
      <selection activeCell="T17" sqref="T17"/>
    </sheetView>
  </sheetViews>
  <sheetFormatPr defaultRowHeight="15" x14ac:dyDescent="0.25"/>
  <cols>
    <col min="1" max="19" width="9.140625" style="124"/>
    <col min="20" max="20" width="11.5703125" style="124" bestFit="1" customWidth="1"/>
    <col min="21" max="16384" width="9.140625" style="124"/>
  </cols>
  <sheetData>
    <row r="2" spans="1:21" x14ac:dyDescent="0.25">
      <c r="C2" s="124" t="s">
        <v>243</v>
      </c>
      <c r="E2" s="124" t="s">
        <v>242</v>
      </c>
      <c r="F2" s="124" t="s">
        <v>241</v>
      </c>
      <c r="G2" s="124" t="s">
        <v>240</v>
      </c>
      <c r="H2" s="124" t="s">
        <v>239</v>
      </c>
      <c r="I2" s="124" t="s">
        <v>238</v>
      </c>
      <c r="J2" s="124" t="s">
        <v>237</v>
      </c>
      <c r="K2" s="124" t="s">
        <v>236</v>
      </c>
      <c r="L2" s="124" t="s">
        <v>235</v>
      </c>
      <c r="M2" s="124" t="s">
        <v>234</v>
      </c>
      <c r="N2" s="124" t="s">
        <v>233</v>
      </c>
      <c r="O2" s="124" t="s">
        <v>232</v>
      </c>
      <c r="P2" s="124" t="s">
        <v>231</v>
      </c>
      <c r="Q2" s="124" t="s">
        <v>211</v>
      </c>
      <c r="S2" s="124" t="s">
        <v>44</v>
      </c>
    </row>
    <row r="3" spans="1:21" x14ac:dyDescent="0.25">
      <c r="A3" s="124" t="s">
        <v>217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S3" s="125">
        <f>SUM(C3:P3)</f>
        <v>0</v>
      </c>
      <c r="T3" s="125">
        <f>'[2]Operating Statement'!$D$10+'[2]Operating Statement'!$D$11</f>
        <v>0</v>
      </c>
    </row>
    <row r="4" spans="1:21" x14ac:dyDescent="0.25">
      <c r="A4" s="124" t="s">
        <v>218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6"/>
      <c r="S4" s="125">
        <f>SUM(C4:P4)</f>
        <v>0</v>
      </c>
      <c r="T4" s="125">
        <f>'[13]Operating Statement'!$D$10+'[13]Operating Statement'!$D$11</f>
        <v>0</v>
      </c>
    </row>
    <row r="5" spans="1:21" x14ac:dyDescent="0.25">
      <c r="A5" s="124" t="s">
        <v>219</v>
      </c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6"/>
      <c r="S5" s="125">
        <f>SUM(C5:P5)</f>
        <v>0</v>
      </c>
      <c r="T5" s="125">
        <f>'[14]Operating Statement'!$D$10+'[14]Operating Statement'!$D$11</f>
        <v>0</v>
      </c>
    </row>
    <row r="6" spans="1:21" x14ac:dyDescent="0.25">
      <c r="A6" s="124" t="s">
        <v>220</v>
      </c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6"/>
      <c r="S6" s="125">
        <f>SUM(C6:P6)</f>
        <v>0</v>
      </c>
      <c r="T6" s="125">
        <f>'[7]Operating Statement'!$D$10+'[7]Operating Statement'!$D$11</f>
        <v>0</v>
      </c>
    </row>
    <row r="7" spans="1:21" x14ac:dyDescent="0.25">
      <c r="A7" s="124" t="s">
        <v>221</v>
      </c>
      <c r="C7" s="125"/>
      <c r="D7" s="125"/>
      <c r="E7" s="125"/>
      <c r="F7" s="125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6"/>
      <c r="S7" s="125">
        <f>SUM(C7:P7)</f>
        <v>0</v>
      </c>
      <c r="T7" s="125">
        <f>'[3]Operating Statement'!$D$11</f>
        <v>0</v>
      </c>
    </row>
    <row r="8" spans="1:21" x14ac:dyDescent="0.25">
      <c r="A8" s="124" t="s">
        <v>222</v>
      </c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  <c r="O8" s="125"/>
      <c r="P8" s="125"/>
      <c r="Q8" s="125"/>
      <c r="S8" s="125">
        <f>SUM(C8:P8)</f>
        <v>0</v>
      </c>
      <c r="T8" s="125">
        <f>'[8]Operating Statement'!$D$11</f>
        <v>0</v>
      </c>
    </row>
    <row r="9" spans="1:21" x14ac:dyDescent="0.25">
      <c r="A9" s="124" t="s">
        <v>223</v>
      </c>
      <c r="C9" s="125"/>
      <c r="D9" s="125"/>
      <c r="E9" s="125"/>
      <c r="F9" s="125"/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6">
        <v>0</v>
      </c>
      <c r="S9" s="125">
        <f>SUM(C9:P9)</f>
        <v>0</v>
      </c>
      <c r="T9" s="125">
        <f>'[15]Operating Statement'!$D$11</f>
        <v>0</v>
      </c>
    </row>
    <row r="10" spans="1:21" x14ac:dyDescent="0.25">
      <c r="A10" s="124" t="s">
        <v>224</v>
      </c>
      <c r="C10" s="125"/>
      <c r="D10" s="125"/>
      <c r="E10" s="125"/>
      <c r="F10" s="125"/>
      <c r="G10" s="125"/>
      <c r="H10" s="125"/>
      <c r="I10" s="125"/>
      <c r="J10" s="125"/>
      <c r="K10" s="125"/>
      <c r="L10" s="125"/>
      <c r="M10" s="125"/>
      <c r="N10" s="125"/>
      <c r="O10" s="125"/>
      <c r="P10" s="125"/>
      <c r="Q10" s="125"/>
      <c r="S10" s="125">
        <f>SUM(C10:P10)</f>
        <v>0</v>
      </c>
      <c r="T10" s="125">
        <f>'[16]Operating Statement'!$D$11</f>
        <v>0</v>
      </c>
    </row>
    <row r="11" spans="1:21" x14ac:dyDescent="0.25">
      <c r="A11" s="124" t="s">
        <v>225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S11" s="125">
        <f>SUM(C11:P11)</f>
        <v>0</v>
      </c>
      <c r="T11" s="125">
        <f>'[17]Operating Statement'!$D$11</f>
        <v>0</v>
      </c>
    </row>
    <row r="12" spans="1:21" x14ac:dyDescent="0.25">
      <c r="A12" s="124" t="s">
        <v>226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S12" s="125">
        <f>SUM(C12:P12)</f>
        <v>0</v>
      </c>
      <c r="T12" s="125">
        <f>'[18]Operating Statement'!$D$11</f>
        <v>0</v>
      </c>
    </row>
    <row r="13" spans="1:21" x14ac:dyDescent="0.25">
      <c r="A13" s="124" t="s">
        <v>227</v>
      </c>
      <c r="C13" s="125"/>
      <c r="D13" s="125"/>
      <c r="E13" s="125"/>
      <c r="F13" s="125"/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S13" s="125">
        <f>SUM(C13:P13)</f>
        <v>0</v>
      </c>
      <c r="T13" s="125">
        <f>'[19]Operating Statement'!$D$11</f>
        <v>0</v>
      </c>
    </row>
    <row r="14" spans="1:21" x14ac:dyDescent="0.25">
      <c r="A14" s="124" t="s">
        <v>228</v>
      </c>
      <c r="C14" s="125"/>
      <c r="D14" s="125"/>
      <c r="E14" s="125"/>
      <c r="F14" s="125"/>
      <c r="G14" s="125"/>
      <c r="H14" s="125"/>
      <c r="I14" s="125"/>
      <c r="J14" s="125"/>
      <c r="K14" s="125"/>
      <c r="L14" s="125"/>
      <c r="M14" s="125"/>
      <c r="N14" s="125"/>
      <c r="O14" s="125"/>
      <c r="P14" s="125"/>
      <c r="Q14" s="126"/>
      <c r="S14" s="125">
        <f>SUM(C14:P14)</f>
        <v>0</v>
      </c>
      <c r="T14" s="125">
        <f>'[4]Operating Statement'!$D$11</f>
        <v>0</v>
      </c>
    </row>
    <row r="15" spans="1:21" x14ac:dyDescent="0.25">
      <c r="C15" s="125">
        <f>SUM(C3:C14)</f>
        <v>0</v>
      </c>
      <c r="D15" s="125">
        <f>SUM(D3:D14)</f>
        <v>0</v>
      </c>
      <c r="E15" s="125">
        <f>SUM(E3:E14)</f>
        <v>0</v>
      </c>
      <c r="F15" s="125">
        <f>SUM(F3:F14)</f>
        <v>0</v>
      </c>
      <c r="G15" s="125">
        <f>SUM(G3:G14)</f>
        <v>0</v>
      </c>
      <c r="H15" s="125">
        <f>SUM(H3:H14)</f>
        <v>0</v>
      </c>
      <c r="I15" s="125">
        <f>SUM(I3:I14)</f>
        <v>0</v>
      </c>
      <c r="J15" s="125">
        <f>SUM(J3:J14)</f>
        <v>0</v>
      </c>
      <c r="K15" s="125">
        <f>SUM(K3:K14)</f>
        <v>0</v>
      </c>
      <c r="L15" s="125">
        <f>SUM(L3:L14)</f>
        <v>0</v>
      </c>
      <c r="M15" s="125">
        <f>SUM(M3:M14)</f>
        <v>0</v>
      </c>
      <c r="N15" s="125">
        <f>SUM(N3:N14)</f>
        <v>0</v>
      </c>
      <c r="O15" s="125">
        <f>SUM(O3:O14)</f>
        <v>0</v>
      </c>
      <c r="P15" s="125">
        <f>SUM(P3:P14)</f>
        <v>0</v>
      </c>
      <c r="Q15" s="125">
        <f>SUM(Q3:Q14)</f>
        <v>0</v>
      </c>
      <c r="R15" s="125"/>
      <c r="S15" s="125">
        <f>SUM(S3:S14)</f>
        <v>0</v>
      </c>
      <c r="T15" s="125">
        <f>SUM(T3:T14)</f>
        <v>0</v>
      </c>
      <c r="U15" s="127">
        <f>S15-'[2]Operating Statement'!$G$10-'[2]Operating Statement'!$G$11</f>
        <v>0</v>
      </c>
    </row>
    <row r="17" spans="20:21" x14ac:dyDescent="0.25">
      <c r="T17" s="127">
        <f>T15-'[10]Operating Statement'!G10-'[10]Operating Statement'!G11</f>
        <v>0</v>
      </c>
      <c r="U17" s="127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3B8B-365C-4518-A9BC-CFF3BB36E880}">
  <dimension ref="A1:G159"/>
  <sheetViews>
    <sheetView topLeftCell="A99" workbookViewId="0">
      <selection activeCell="E103" sqref="E103:E123"/>
    </sheetView>
  </sheetViews>
  <sheetFormatPr defaultRowHeight="15" x14ac:dyDescent="0.25"/>
  <cols>
    <col min="1" max="1" width="9.140625" style="124"/>
    <col min="2" max="2" width="15.5703125" style="124" customWidth="1"/>
    <col min="3" max="3" width="15.140625" style="124" customWidth="1"/>
    <col min="4" max="4" width="6.140625" style="124" bestFit="1" customWidth="1"/>
    <col min="5" max="5" width="16.28515625" style="124" bestFit="1" customWidth="1"/>
    <col min="6" max="6" width="13.85546875" style="124" bestFit="1" customWidth="1"/>
    <col min="7" max="7" width="12.42578125" style="124" bestFit="1" customWidth="1"/>
    <col min="8" max="16384" width="9.140625" style="124"/>
  </cols>
  <sheetData>
    <row r="1" spans="1:7" x14ac:dyDescent="0.25">
      <c r="A1" s="134" t="s">
        <v>244</v>
      </c>
      <c r="B1" s="134" t="s">
        <v>245</v>
      </c>
      <c r="C1" s="134" t="s">
        <v>246</v>
      </c>
      <c r="D1" s="134" t="s">
        <v>247</v>
      </c>
      <c r="E1" s="134" t="s">
        <v>248</v>
      </c>
      <c r="F1" s="134" t="s">
        <v>249</v>
      </c>
      <c r="G1" s="134" t="s">
        <v>250</v>
      </c>
    </row>
    <row r="2" spans="1:7" x14ac:dyDescent="0.25">
      <c r="A2" s="135">
        <v>957</v>
      </c>
      <c r="B2" s="136" t="s">
        <v>251</v>
      </c>
      <c r="C2" s="136" t="s">
        <v>252</v>
      </c>
      <c r="D2" s="136" t="s">
        <v>253</v>
      </c>
      <c r="E2" s="137">
        <v>25</v>
      </c>
      <c r="F2" s="138">
        <v>43983</v>
      </c>
      <c r="G2" s="135" t="b">
        <v>1</v>
      </c>
    </row>
    <row r="3" spans="1:7" x14ac:dyDescent="0.25">
      <c r="A3" s="135">
        <v>958</v>
      </c>
      <c r="B3" s="136" t="s">
        <v>254</v>
      </c>
      <c r="C3" s="136" t="s">
        <v>255</v>
      </c>
      <c r="D3" s="136" t="s">
        <v>253</v>
      </c>
      <c r="E3" s="137">
        <f>30+20</f>
        <v>50</v>
      </c>
      <c r="F3" s="138">
        <v>43983</v>
      </c>
      <c r="G3" s="135" t="b">
        <v>1</v>
      </c>
    </row>
    <row r="4" spans="1:7" x14ac:dyDescent="0.25">
      <c r="A4" s="135">
        <v>959</v>
      </c>
      <c r="B4" s="136" t="s">
        <v>256</v>
      </c>
      <c r="C4" s="136" t="s">
        <v>257</v>
      </c>
      <c r="D4" s="136" t="s">
        <v>253</v>
      </c>
      <c r="E4" s="137">
        <v>2500</v>
      </c>
      <c r="F4" s="138">
        <v>43985</v>
      </c>
      <c r="G4" s="135" t="b">
        <v>1</v>
      </c>
    </row>
    <row r="5" spans="1:7" x14ac:dyDescent="0.25">
      <c r="A5" s="135">
        <v>960</v>
      </c>
      <c r="B5" s="136" t="s">
        <v>258</v>
      </c>
      <c r="C5" s="136" t="s">
        <v>259</v>
      </c>
      <c r="D5" s="136" t="s">
        <v>253</v>
      </c>
      <c r="E5" s="137">
        <v>5</v>
      </c>
      <c r="F5" s="138">
        <v>43992</v>
      </c>
      <c r="G5" s="135" t="b">
        <v>1</v>
      </c>
    </row>
    <row r="6" spans="1:7" x14ac:dyDescent="0.25">
      <c r="A6" s="135">
        <v>961</v>
      </c>
      <c r="B6" s="136" t="s">
        <v>260</v>
      </c>
      <c r="C6" s="136" t="s">
        <v>261</v>
      </c>
      <c r="D6" s="136" t="s">
        <v>253</v>
      </c>
      <c r="E6" s="137">
        <v>20</v>
      </c>
      <c r="F6" s="138">
        <v>43998</v>
      </c>
      <c r="G6" s="135" t="b">
        <v>1</v>
      </c>
    </row>
    <row r="7" spans="1:7" x14ac:dyDescent="0.25">
      <c r="A7" s="135">
        <v>962</v>
      </c>
      <c r="B7" s="136" t="s">
        <v>262</v>
      </c>
      <c r="C7" s="136" t="s">
        <v>263</v>
      </c>
      <c r="D7" s="136" t="s">
        <v>253</v>
      </c>
      <c r="E7" s="137">
        <v>5</v>
      </c>
      <c r="F7" s="138">
        <v>43998</v>
      </c>
      <c r="G7" s="135" t="b">
        <v>1</v>
      </c>
    </row>
    <row r="8" spans="1:7" x14ac:dyDescent="0.25">
      <c r="A8" s="135">
        <v>963</v>
      </c>
      <c r="B8" s="136" t="s">
        <v>264</v>
      </c>
      <c r="C8" s="136" t="s">
        <v>265</v>
      </c>
      <c r="D8" s="136" t="s">
        <v>253</v>
      </c>
      <c r="E8" s="137">
        <v>50</v>
      </c>
      <c r="F8" s="138">
        <v>44004</v>
      </c>
      <c r="G8" s="135" t="b">
        <v>1</v>
      </c>
    </row>
    <row r="9" spans="1:7" x14ac:dyDescent="0.25">
      <c r="A9" s="135">
        <v>964</v>
      </c>
      <c r="B9" s="136" t="s">
        <v>266</v>
      </c>
      <c r="C9" s="136" t="s">
        <v>267</v>
      </c>
      <c r="D9" s="136" t="s">
        <v>253</v>
      </c>
      <c r="E9" s="137">
        <v>20</v>
      </c>
      <c r="F9" s="138">
        <v>44008</v>
      </c>
      <c r="G9" s="135" t="b">
        <v>1</v>
      </c>
    </row>
    <row r="10" spans="1:7" x14ac:dyDescent="0.25">
      <c r="A10" s="135">
        <v>965</v>
      </c>
      <c r="B10" s="136" t="s">
        <v>268</v>
      </c>
      <c r="C10" s="136" t="s">
        <v>269</v>
      </c>
      <c r="D10" s="136" t="s">
        <v>253</v>
      </c>
      <c r="E10" s="137">
        <v>10</v>
      </c>
      <c r="F10" s="138">
        <v>44012</v>
      </c>
      <c r="G10" s="135" t="b">
        <v>1</v>
      </c>
    </row>
    <row r="11" spans="1:7" x14ac:dyDescent="0.25">
      <c r="A11" s="135">
        <v>966</v>
      </c>
      <c r="B11" s="136" t="s">
        <v>268</v>
      </c>
      <c r="C11" s="136" t="s">
        <v>270</v>
      </c>
      <c r="D11" s="136" t="s">
        <v>253</v>
      </c>
      <c r="E11" s="137">
        <v>10</v>
      </c>
      <c r="F11" s="138">
        <v>44012</v>
      </c>
      <c r="G11" s="135" t="b">
        <v>1</v>
      </c>
    </row>
    <row r="12" spans="1:7" x14ac:dyDescent="0.25">
      <c r="A12" s="135">
        <v>967</v>
      </c>
      <c r="B12" s="136" t="s">
        <v>271</v>
      </c>
      <c r="C12" s="136" t="s">
        <v>272</v>
      </c>
      <c r="D12" s="136" t="s">
        <v>253</v>
      </c>
      <c r="E12" s="137">
        <v>20</v>
      </c>
      <c r="F12" s="138">
        <v>44012</v>
      </c>
      <c r="G12" s="135" t="b">
        <v>1</v>
      </c>
    </row>
    <row r="13" spans="1:7" x14ac:dyDescent="0.25">
      <c r="A13" s="135">
        <v>968</v>
      </c>
      <c r="B13" s="136" t="s">
        <v>273</v>
      </c>
      <c r="C13" s="136" t="s">
        <v>274</v>
      </c>
      <c r="D13" s="136" t="s">
        <v>253</v>
      </c>
      <c r="E13" s="137">
        <v>10</v>
      </c>
      <c r="F13" s="138">
        <v>44012</v>
      </c>
      <c r="G13" s="135" t="b">
        <v>1</v>
      </c>
    </row>
    <row r="14" spans="1:7" x14ac:dyDescent="0.25">
      <c r="A14" s="135">
        <v>973</v>
      </c>
      <c r="B14" s="136" t="s">
        <v>251</v>
      </c>
      <c r="C14" s="136" t="s">
        <v>252</v>
      </c>
      <c r="D14" s="136" t="s">
        <v>253</v>
      </c>
      <c r="E14" s="137">
        <v>25</v>
      </c>
      <c r="F14" s="138">
        <v>44013</v>
      </c>
      <c r="G14" s="135" t="b">
        <v>1</v>
      </c>
    </row>
    <row r="15" spans="1:7" x14ac:dyDescent="0.25">
      <c r="A15" s="135">
        <v>974</v>
      </c>
      <c r="B15" s="136" t="s">
        <v>258</v>
      </c>
      <c r="C15" s="136" t="s">
        <v>259</v>
      </c>
      <c r="D15" s="136" t="s">
        <v>253</v>
      </c>
      <c r="E15" s="137">
        <v>5</v>
      </c>
      <c r="F15" s="138">
        <v>44022</v>
      </c>
      <c r="G15" s="135" t="b">
        <v>1</v>
      </c>
    </row>
    <row r="16" spans="1:7" x14ac:dyDescent="0.25">
      <c r="A16" s="135">
        <v>975</v>
      </c>
      <c r="B16" s="136" t="s">
        <v>260</v>
      </c>
      <c r="C16" s="136" t="s">
        <v>261</v>
      </c>
      <c r="D16" s="136" t="s">
        <v>253</v>
      </c>
      <c r="E16" s="137">
        <v>20</v>
      </c>
      <c r="F16" s="138">
        <v>44027</v>
      </c>
      <c r="G16" s="135" t="b">
        <v>1</v>
      </c>
    </row>
    <row r="17" spans="1:7" x14ac:dyDescent="0.25">
      <c r="A17" s="135">
        <v>976</v>
      </c>
      <c r="B17" s="136" t="s">
        <v>262</v>
      </c>
      <c r="C17" s="136" t="s">
        <v>263</v>
      </c>
      <c r="D17" s="136" t="s">
        <v>253</v>
      </c>
      <c r="E17" s="137">
        <v>5</v>
      </c>
      <c r="F17" s="138">
        <v>44028</v>
      </c>
      <c r="G17" s="135" t="b">
        <v>1</v>
      </c>
    </row>
    <row r="18" spans="1:7" x14ac:dyDescent="0.25">
      <c r="A18" s="135">
        <v>977</v>
      </c>
      <c r="B18" s="136" t="s">
        <v>264</v>
      </c>
      <c r="C18" s="136" t="s">
        <v>265</v>
      </c>
      <c r="D18" s="136" t="s">
        <v>253</v>
      </c>
      <c r="E18" s="137">
        <v>50</v>
      </c>
      <c r="F18" s="138">
        <v>44034</v>
      </c>
      <c r="G18" s="135" t="b">
        <v>1</v>
      </c>
    </row>
    <row r="19" spans="1:7" x14ac:dyDescent="0.25">
      <c r="A19" s="135">
        <v>978</v>
      </c>
      <c r="B19" s="136" t="s">
        <v>266</v>
      </c>
      <c r="C19" s="136" t="s">
        <v>267</v>
      </c>
      <c r="D19" s="136" t="s">
        <v>253</v>
      </c>
      <c r="E19" s="137">
        <v>20</v>
      </c>
      <c r="F19" s="138">
        <v>44038</v>
      </c>
      <c r="G19" s="135" t="b">
        <v>1</v>
      </c>
    </row>
    <row r="20" spans="1:7" x14ac:dyDescent="0.25">
      <c r="A20" s="135">
        <v>979</v>
      </c>
      <c r="B20" s="136" t="s">
        <v>275</v>
      </c>
      <c r="C20" s="136" t="s">
        <v>276</v>
      </c>
      <c r="D20" s="136" t="s">
        <v>253</v>
      </c>
      <c r="E20" s="137">
        <v>75</v>
      </c>
      <c r="F20" s="138">
        <v>44038</v>
      </c>
      <c r="G20" s="135" t="b">
        <v>1</v>
      </c>
    </row>
    <row r="21" spans="1:7" x14ac:dyDescent="0.25">
      <c r="A21" s="135">
        <v>980</v>
      </c>
      <c r="B21" s="136" t="s">
        <v>268</v>
      </c>
      <c r="C21" s="136" t="s">
        <v>270</v>
      </c>
      <c r="D21" s="136" t="s">
        <v>253</v>
      </c>
      <c r="E21" s="137">
        <v>10</v>
      </c>
      <c r="F21" s="138">
        <v>44042</v>
      </c>
      <c r="G21" s="135" t="b">
        <v>1</v>
      </c>
    </row>
    <row r="22" spans="1:7" x14ac:dyDescent="0.25">
      <c r="A22" s="135">
        <v>981</v>
      </c>
      <c r="B22" s="136" t="s">
        <v>268</v>
      </c>
      <c r="C22" s="136" t="s">
        <v>269</v>
      </c>
      <c r="D22" s="136" t="s">
        <v>253</v>
      </c>
      <c r="E22" s="137">
        <v>10</v>
      </c>
      <c r="F22" s="138">
        <v>44042</v>
      </c>
      <c r="G22" s="135" t="b">
        <v>1</v>
      </c>
    </row>
    <row r="23" spans="1:7" x14ac:dyDescent="0.25">
      <c r="A23" s="135">
        <v>982</v>
      </c>
      <c r="B23" s="136" t="s">
        <v>271</v>
      </c>
      <c r="C23" s="136" t="s">
        <v>272</v>
      </c>
      <c r="D23" s="136" t="s">
        <v>253</v>
      </c>
      <c r="E23" s="137">
        <v>20</v>
      </c>
      <c r="F23" s="138">
        <v>44042</v>
      </c>
      <c r="G23" s="135" t="b">
        <v>1</v>
      </c>
    </row>
    <row r="24" spans="1:7" x14ac:dyDescent="0.25">
      <c r="A24" s="135">
        <v>983</v>
      </c>
      <c r="B24" s="136" t="s">
        <v>273</v>
      </c>
      <c r="C24" s="136" t="s">
        <v>274</v>
      </c>
      <c r="D24" s="136" t="s">
        <v>253</v>
      </c>
      <c r="E24" s="137">
        <v>10</v>
      </c>
      <c r="F24" s="138">
        <v>44042</v>
      </c>
      <c r="G24" s="135" t="b">
        <v>1</v>
      </c>
    </row>
    <row r="25" spans="1:7" x14ac:dyDescent="0.25">
      <c r="A25" s="135">
        <v>984</v>
      </c>
      <c r="B25" s="136" t="s">
        <v>251</v>
      </c>
      <c r="C25" s="136" t="s">
        <v>252</v>
      </c>
      <c r="D25" s="136" t="s">
        <v>253</v>
      </c>
      <c r="E25" s="137">
        <v>25</v>
      </c>
      <c r="F25" s="138">
        <v>44044</v>
      </c>
      <c r="G25" s="135" t="b">
        <v>1</v>
      </c>
    </row>
    <row r="26" spans="1:7" x14ac:dyDescent="0.25">
      <c r="A26" s="135">
        <v>985</v>
      </c>
      <c r="B26" s="136" t="s">
        <v>277</v>
      </c>
      <c r="C26" s="136" t="s">
        <v>253</v>
      </c>
      <c r="D26" s="136" t="s">
        <v>253</v>
      </c>
      <c r="E26" s="137">
        <v>2000</v>
      </c>
      <c r="F26" s="138">
        <v>44047</v>
      </c>
      <c r="G26" s="135" t="b">
        <v>1</v>
      </c>
    </row>
    <row r="27" spans="1:7" x14ac:dyDescent="0.25">
      <c r="A27" s="135">
        <v>986</v>
      </c>
      <c r="B27" s="136" t="s">
        <v>278</v>
      </c>
      <c r="C27" s="136" t="s">
        <v>279</v>
      </c>
      <c r="D27" s="136" t="s">
        <v>253</v>
      </c>
      <c r="E27" s="137">
        <v>200</v>
      </c>
      <c r="F27" s="138">
        <v>44047</v>
      </c>
      <c r="G27" s="135" t="b">
        <v>1</v>
      </c>
    </row>
    <row r="28" spans="1:7" x14ac:dyDescent="0.25">
      <c r="A28" s="135">
        <v>987</v>
      </c>
      <c r="B28" s="136" t="s">
        <v>280</v>
      </c>
      <c r="C28" s="136" t="s">
        <v>252</v>
      </c>
      <c r="D28" s="136" t="s">
        <v>253</v>
      </c>
      <c r="E28" s="137">
        <v>250</v>
      </c>
      <c r="F28" s="138">
        <v>44048</v>
      </c>
      <c r="G28" s="135" t="b">
        <v>1</v>
      </c>
    </row>
    <row r="29" spans="1:7" x14ac:dyDescent="0.25">
      <c r="A29" s="135">
        <v>1013</v>
      </c>
      <c r="B29" s="136" t="s">
        <v>277</v>
      </c>
      <c r="C29" s="136" t="s">
        <v>253</v>
      </c>
      <c r="D29" s="136" t="s">
        <v>253</v>
      </c>
      <c r="E29" s="137">
        <v>100</v>
      </c>
      <c r="F29" s="138">
        <v>44050</v>
      </c>
      <c r="G29" s="135" t="b">
        <v>1</v>
      </c>
    </row>
    <row r="30" spans="1:7" x14ac:dyDescent="0.25">
      <c r="A30" s="135">
        <v>1014</v>
      </c>
      <c r="B30" s="136" t="s">
        <v>281</v>
      </c>
      <c r="C30" s="136" t="s">
        <v>282</v>
      </c>
      <c r="D30" s="136" t="s">
        <v>253</v>
      </c>
      <c r="E30" s="137">
        <v>100</v>
      </c>
      <c r="F30" s="138">
        <v>44050</v>
      </c>
      <c r="G30" s="135" t="b">
        <v>1</v>
      </c>
    </row>
    <row r="31" spans="1:7" x14ac:dyDescent="0.25">
      <c r="A31" s="135">
        <v>1015</v>
      </c>
      <c r="B31" s="136" t="s">
        <v>258</v>
      </c>
      <c r="C31" s="136" t="s">
        <v>259</v>
      </c>
      <c r="D31" s="136" t="s">
        <v>253</v>
      </c>
      <c r="E31" s="137">
        <v>5</v>
      </c>
      <c r="F31" s="138">
        <v>44053</v>
      </c>
      <c r="G31" s="135" t="b">
        <v>1</v>
      </c>
    </row>
    <row r="32" spans="1:7" x14ac:dyDescent="0.25">
      <c r="A32" s="135">
        <v>1016</v>
      </c>
      <c r="B32" s="136" t="s">
        <v>283</v>
      </c>
      <c r="C32" s="136" t="s">
        <v>284</v>
      </c>
      <c r="D32" s="136" t="s">
        <v>253</v>
      </c>
      <c r="E32" s="137">
        <v>5000</v>
      </c>
      <c r="F32" s="138">
        <v>44053</v>
      </c>
      <c r="G32" s="135" t="b">
        <v>1</v>
      </c>
    </row>
    <row r="33" spans="1:7" x14ac:dyDescent="0.25">
      <c r="A33" s="135">
        <v>1017</v>
      </c>
      <c r="B33" s="136" t="s">
        <v>285</v>
      </c>
      <c r="C33" s="136" t="s">
        <v>286</v>
      </c>
      <c r="D33" s="136" t="s">
        <v>253</v>
      </c>
      <c r="E33" s="137">
        <v>100</v>
      </c>
      <c r="F33" s="138">
        <v>44054</v>
      </c>
      <c r="G33" s="135" t="b">
        <v>1</v>
      </c>
    </row>
    <row r="34" spans="1:7" x14ac:dyDescent="0.25">
      <c r="A34" s="135">
        <v>1018</v>
      </c>
      <c r="B34" s="136" t="s">
        <v>287</v>
      </c>
      <c r="C34" s="136" t="s">
        <v>288</v>
      </c>
      <c r="D34" s="136" t="s">
        <v>253</v>
      </c>
      <c r="E34" s="137">
        <v>50</v>
      </c>
      <c r="F34" s="138">
        <v>44054</v>
      </c>
      <c r="G34" s="135" t="b">
        <v>1</v>
      </c>
    </row>
    <row r="35" spans="1:7" x14ac:dyDescent="0.25">
      <c r="A35" s="135">
        <v>1019</v>
      </c>
      <c r="B35" s="136" t="s">
        <v>289</v>
      </c>
      <c r="C35" s="136" t="s">
        <v>290</v>
      </c>
      <c r="D35" s="136" t="s">
        <v>253</v>
      </c>
      <c r="E35" s="137">
        <v>50</v>
      </c>
      <c r="F35" s="138">
        <v>44055</v>
      </c>
      <c r="G35" s="135" t="b">
        <v>1</v>
      </c>
    </row>
    <row r="36" spans="1:7" x14ac:dyDescent="0.25">
      <c r="A36" s="135">
        <v>1020</v>
      </c>
      <c r="B36" s="136" t="s">
        <v>291</v>
      </c>
      <c r="C36" s="136" t="s">
        <v>292</v>
      </c>
      <c r="D36" s="136" t="s">
        <v>253</v>
      </c>
      <c r="E36" s="137">
        <v>100</v>
      </c>
      <c r="F36" s="138">
        <v>44057</v>
      </c>
      <c r="G36" s="135" t="b">
        <v>1</v>
      </c>
    </row>
    <row r="37" spans="1:7" x14ac:dyDescent="0.25">
      <c r="A37" s="135">
        <v>1021</v>
      </c>
      <c r="B37" s="136" t="s">
        <v>260</v>
      </c>
      <c r="C37" s="136" t="s">
        <v>261</v>
      </c>
      <c r="D37" s="136" t="s">
        <v>253</v>
      </c>
      <c r="E37" s="137">
        <v>20</v>
      </c>
      <c r="F37" s="138">
        <v>44058</v>
      </c>
      <c r="G37" s="135" t="b">
        <v>1</v>
      </c>
    </row>
    <row r="38" spans="1:7" x14ac:dyDescent="0.25">
      <c r="A38" s="135">
        <v>1022</v>
      </c>
      <c r="B38" s="136" t="s">
        <v>293</v>
      </c>
      <c r="C38" s="136" t="s">
        <v>294</v>
      </c>
      <c r="D38" s="136" t="s">
        <v>253</v>
      </c>
      <c r="E38" s="137">
        <v>50</v>
      </c>
      <c r="F38" s="138">
        <v>44058</v>
      </c>
      <c r="G38" s="135" t="b">
        <v>1</v>
      </c>
    </row>
    <row r="39" spans="1:7" x14ac:dyDescent="0.25">
      <c r="A39" s="135">
        <v>1023</v>
      </c>
      <c r="B39" s="136" t="s">
        <v>262</v>
      </c>
      <c r="C39" s="136" t="s">
        <v>263</v>
      </c>
      <c r="D39" s="136" t="s">
        <v>253</v>
      </c>
      <c r="E39" s="137">
        <v>5</v>
      </c>
      <c r="F39" s="138">
        <v>44059</v>
      </c>
      <c r="G39" s="135" t="b">
        <v>1</v>
      </c>
    </row>
    <row r="40" spans="1:7" x14ac:dyDescent="0.25">
      <c r="A40" s="135">
        <v>1024</v>
      </c>
      <c r="B40" s="136" t="s">
        <v>295</v>
      </c>
      <c r="C40" s="136" t="s">
        <v>296</v>
      </c>
      <c r="D40" s="136" t="s">
        <v>253</v>
      </c>
      <c r="E40" s="137">
        <v>500</v>
      </c>
      <c r="F40" s="138">
        <v>44060</v>
      </c>
      <c r="G40" s="135" t="b">
        <v>1</v>
      </c>
    </row>
    <row r="41" spans="1:7" x14ac:dyDescent="0.25">
      <c r="A41" s="135">
        <v>1025</v>
      </c>
      <c r="B41" s="136" t="s">
        <v>297</v>
      </c>
      <c r="C41" s="136" t="s">
        <v>298</v>
      </c>
      <c r="D41" s="136" t="s">
        <v>299</v>
      </c>
      <c r="E41" s="137">
        <v>100</v>
      </c>
      <c r="F41" s="138">
        <v>44060</v>
      </c>
      <c r="G41" s="135" t="b">
        <v>1</v>
      </c>
    </row>
    <row r="42" spans="1:7" x14ac:dyDescent="0.25">
      <c r="A42" s="135">
        <v>1026</v>
      </c>
      <c r="B42" s="136" t="s">
        <v>300</v>
      </c>
      <c r="C42" s="136" t="s">
        <v>301</v>
      </c>
      <c r="D42" s="136" t="s">
        <v>253</v>
      </c>
      <c r="E42" s="137">
        <v>2000</v>
      </c>
      <c r="F42" s="138">
        <v>44062</v>
      </c>
      <c r="G42" s="135" t="b">
        <v>1</v>
      </c>
    </row>
    <row r="43" spans="1:7" x14ac:dyDescent="0.25">
      <c r="A43" s="135">
        <v>1027</v>
      </c>
      <c r="B43" s="136" t="s">
        <v>302</v>
      </c>
      <c r="C43" s="136" t="s">
        <v>290</v>
      </c>
      <c r="D43" s="136" t="s">
        <v>253</v>
      </c>
      <c r="E43" s="137">
        <v>50</v>
      </c>
      <c r="F43" s="138">
        <v>44063</v>
      </c>
      <c r="G43" s="135" t="b">
        <v>1</v>
      </c>
    </row>
    <row r="44" spans="1:7" x14ac:dyDescent="0.25">
      <c r="A44" s="135">
        <v>1053</v>
      </c>
      <c r="B44" s="136" t="s">
        <v>295</v>
      </c>
      <c r="C44" s="136" t="s">
        <v>303</v>
      </c>
      <c r="D44" s="136" t="s">
        <v>253</v>
      </c>
      <c r="E44" s="137">
        <v>1000</v>
      </c>
      <c r="F44" s="138">
        <v>44063</v>
      </c>
      <c r="G44" s="135" t="b">
        <v>1</v>
      </c>
    </row>
    <row r="45" spans="1:7" x14ac:dyDescent="0.25">
      <c r="A45" s="135">
        <v>1054</v>
      </c>
      <c r="B45" s="136" t="s">
        <v>295</v>
      </c>
      <c r="C45" s="136" t="s">
        <v>304</v>
      </c>
      <c r="D45" s="136" t="s">
        <v>253</v>
      </c>
      <c r="E45" s="137">
        <v>400</v>
      </c>
      <c r="F45" s="138">
        <v>44063</v>
      </c>
      <c r="G45" s="135" t="b">
        <v>1</v>
      </c>
    </row>
    <row r="46" spans="1:7" x14ac:dyDescent="0.25">
      <c r="A46" s="135">
        <v>1055</v>
      </c>
      <c r="B46" s="136" t="s">
        <v>305</v>
      </c>
      <c r="C46" s="136" t="s">
        <v>306</v>
      </c>
      <c r="D46" s="136" t="s">
        <v>253</v>
      </c>
      <c r="E46" s="137">
        <v>100</v>
      </c>
      <c r="F46" s="138">
        <v>44064</v>
      </c>
      <c r="G46" s="135" t="b">
        <v>1</v>
      </c>
    </row>
    <row r="47" spans="1:7" x14ac:dyDescent="0.25">
      <c r="A47" s="135">
        <v>1056</v>
      </c>
      <c r="B47" s="136" t="s">
        <v>307</v>
      </c>
      <c r="C47" s="136" t="s">
        <v>308</v>
      </c>
      <c r="D47" s="136" t="s">
        <v>253</v>
      </c>
      <c r="E47" s="137">
        <v>2500</v>
      </c>
      <c r="F47" s="138">
        <v>44064</v>
      </c>
      <c r="G47" s="135" t="b">
        <v>1</v>
      </c>
    </row>
    <row r="48" spans="1:7" x14ac:dyDescent="0.25">
      <c r="A48" s="135">
        <v>1057</v>
      </c>
      <c r="B48" s="136" t="s">
        <v>264</v>
      </c>
      <c r="C48" s="136" t="s">
        <v>265</v>
      </c>
      <c r="D48" s="136" t="s">
        <v>253</v>
      </c>
      <c r="E48" s="137">
        <v>50</v>
      </c>
      <c r="F48" s="138">
        <v>44065</v>
      </c>
      <c r="G48" s="135" t="b">
        <v>1</v>
      </c>
    </row>
    <row r="49" spans="1:7" x14ac:dyDescent="0.25">
      <c r="A49" s="135">
        <v>1058</v>
      </c>
      <c r="B49" s="136" t="s">
        <v>309</v>
      </c>
      <c r="C49" s="136" t="s">
        <v>310</v>
      </c>
      <c r="D49" s="136" t="s">
        <v>253</v>
      </c>
      <c r="E49" s="137">
        <v>100</v>
      </c>
      <c r="F49" s="138">
        <v>44067</v>
      </c>
      <c r="G49" s="135" t="b">
        <v>1</v>
      </c>
    </row>
    <row r="50" spans="1:7" x14ac:dyDescent="0.25">
      <c r="A50" s="135">
        <v>1059</v>
      </c>
      <c r="B50" s="136" t="s">
        <v>311</v>
      </c>
      <c r="C50" s="136" t="s">
        <v>312</v>
      </c>
      <c r="D50" s="136" t="s">
        <v>253</v>
      </c>
      <c r="E50" s="137">
        <v>100</v>
      </c>
      <c r="F50" s="138">
        <v>44067</v>
      </c>
      <c r="G50" s="135" t="b">
        <v>1</v>
      </c>
    </row>
    <row r="51" spans="1:7" x14ac:dyDescent="0.25">
      <c r="A51" s="135">
        <v>1060</v>
      </c>
      <c r="B51" s="136" t="s">
        <v>313</v>
      </c>
      <c r="C51" s="136" t="s">
        <v>314</v>
      </c>
      <c r="D51" s="136" t="s">
        <v>253</v>
      </c>
      <c r="E51" s="137">
        <v>2000</v>
      </c>
      <c r="F51" s="138">
        <v>44068</v>
      </c>
      <c r="G51" s="135" t="b">
        <v>1</v>
      </c>
    </row>
    <row r="52" spans="1:7" x14ac:dyDescent="0.25">
      <c r="A52" s="135">
        <v>1061</v>
      </c>
      <c r="B52" s="136" t="s">
        <v>266</v>
      </c>
      <c r="C52" s="136" t="s">
        <v>267</v>
      </c>
      <c r="D52" s="136" t="s">
        <v>253</v>
      </c>
      <c r="E52" s="137">
        <v>20</v>
      </c>
      <c r="F52" s="138">
        <v>44069</v>
      </c>
      <c r="G52" s="135" t="b">
        <v>1</v>
      </c>
    </row>
    <row r="53" spans="1:7" x14ac:dyDescent="0.25">
      <c r="A53" s="135">
        <v>1084</v>
      </c>
      <c r="B53" s="136" t="s">
        <v>268</v>
      </c>
      <c r="C53" s="136" t="s">
        <v>270</v>
      </c>
      <c r="D53" s="136" t="s">
        <v>253</v>
      </c>
      <c r="E53" s="137">
        <v>10</v>
      </c>
      <c r="F53" s="138">
        <v>44073</v>
      </c>
      <c r="G53" s="135" t="b">
        <v>1</v>
      </c>
    </row>
    <row r="54" spans="1:7" x14ac:dyDescent="0.25">
      <c r="A54" s="135">
        <v>1085</v>
      </c>
      <c r="B54" s="136" t="s">
        <v>268</v>
      </c>
      <c r="C54" s="136" t="s">
        <v>269</v>
      </c>
      <c r="D54" s="136" t="s">
        <v>253</v>
      </c>
      <c r="E54" s="137">
        <v>10</v>
      </c>
      <c r="F54" s="138">
        <v>44073</v>
      </c>
      <c r="G54" s="135" t="b">
        <v>1</v>
      </c>
    </row>
    <row r="55" spans="1:7" x14ac:dyDescent="0.25">
      <c r="A55" s="135">
        <v>1086</v>
      </c>
      <c r="B55" s="136" t="s">
        <v>271</v>
      </c>
      <c r="C55" s="136" t="s">
        <v>272</v>
      </c>
      <c r="D55" s="136" t="s">
        <v>253</v>
      </c>
      <c r="E55" s="137">
        <v>20</v>
      </c>
      <c r="F55" s="138">
        <v>44073</v>
      </c>
      <c r="G55" s="135" t="b">
        <v>1</v>
      </c>
    </row>
    <row r="56" spans="1:7" x14ac:dyDescent="0.25">
      <c r="A56" s="135">
        <v>1087</v>
      </c>
      <c r="B56" s="136" t="s">
        <v>273</v>
      </c>
      <c r="C56" s="136" t="s">
        <v>274</v>
      </c>
      <c r="D56" s="136" t="s">
        <v>253</v>
      </c>
      <c r="E56" s="137">
        <v>10</v>
      </c>
      <c r="F56" s="138">
        <v>44074</v>
      </c>
      <c r="G56" s="135" t="b">
        <v>1</v>
      </c>
    </row>
    <row r="57" spans="1:7" x14ac:dyDescent="0.25">
      <c r="A57" s="135">
        <v>1088</v>
      </c>
      <c r="B57" s="136" t="s">
        <v>251</v>
      </c>
      <c r="C57" s="136" t="s">
        <v>252</v>
      </c>
      <c r="D57" s="136" t="s">
        <v>253</v>
      </c>
      <c r="E57" s="137">
        <v>25</v>
      </c>
      <c r="F57" s="138">
        <v>44075</v>
      </c>
      <c r="G57" s="135" t="b">
        <v>1</v>
      </c>
    </row>
    <row r="58" spans="1:7" x14ac:dyDescent="0.25">
      <c r="A58" s="135">
        <v>1089</v>
      </c>
      <c r="B58" s="136" t="s">
        <v>315</v>
      </c>
      <c r="C58" s="136" t="s">
        <v>316</v>
      </c>
      <c r="D58" s="136" t="s">
        <v>253</v>
      </c>
      <c r="E58" s="137">
        <v>200</v>
      </c>
      <c r="F58" s="138">
        <v>44077</v>
      </c>
      <c r="G58" s="135" t="b">
        <v>1</v>
      </c>
    </row>
    <row r="59" spans="1:7" x14ac:dyDescent="0.25">
      <c r="A59" s="135">
        <v>1090</v>
      </c>
      <c r="B59" s="136" t="s">
        <v>317</v>
      </c>
      <c r="C59" s="136" t="s">
        <v>318</v>
      </c>
      <c r="D59" s="136" t="s">
        <v>253</v>
      </c>
      <c r="E59" s="137">
        <v>50</v>
      </c>
      <c r="F59" s="138">
        <v>44078</v>
      </c>
      <c r="G59" s="135" t="b">
        <v>1</v>
      </c>
    </row>
    <row r="60" spans="1:7" x14ac:dyDescent="0.25">
      <c r="A60" s="135">
        <v>1091</v>
      </c>
      <c r="B60" s="136" t="s">
        <v>277</v>
      </c>
      <c r="C60" s="136" t="s">
        <v>253</v>
      </c>
      <c r="D60" s="136" t="s">
        <v>253</v>
      </c>
      <c r="E60" s="137">
        <v>100</v>
      </c>
      <c r="F60" s="138">
        <v>44079</v>
      </c>
      <c r="G60" s="135" t="b">
        <v>1</v>
      </c>
    </row>
    <row r="61" spans="1:7" x14ac:dyDescent="0.25">
      <c r="A61" s="135">
        <v>1092</v>
      </c>
      <c r="B61" s="136" t="s">
        <v>319</v>
      </c>
      <c r="C61" s="136" t="s">
        <v>320</v>
      </c>
      <c r="D61" s="136" t="s">
        <v>253</v>
      </c>
      <c r="E61" s="137">
        <v>100</v>
      </c>
      <c r="F61" s="138">
        <v>44082</v>
      </c>
      <c r="G61" s="135" t="b">
        <v>1</v>
      </c>
    </row>
    <row r="62" spans="1:7" x14ac:dyDescent="0.25">
      <c r="A62" s="135">
        <v>1093</v>
      </c>
      <c r="B62" s="136" t="s">
        <v>258</v>
      </c>
      <c r="C62" s="136" t="s">
        <v>259</v>
      </c>
      <c r="D62" s="136" t="s">
        <v>253</v>
      </c>
      <c r="E62" s="137">
        <v>5</v>
      </c>
      <c r="F62" s="138">
        <v>44084</v>
      </c>
      <c r="G62" s="135" t="b">
        <v>1</v>
      </c>
    </row>
    <row r="63" spans="1:7" x14ac:dyDescent="0.25">
      <c r="A63" s="135">
        <v>1094</v>
      </c>
      <c r="B63" s="136" t="s">
        <v>291</v>
      </c>
      <c r="C63" s="136" t="s">
        <v>321</v>
      </c>
      <c r="D63" s="136" t="s">
        <v>253</v>
      </c>
      <c r="E63" s="137">
        <v>100</v>
      </c>
      <c r="F63" s="138">
        <v>44086</v>
      </c>
      <c r="G63" s="135" t="b">
        <v>1</v>
      </c>
    </row>
    <row r="64" spans="1:7" x14ac:dyDescent="0.25">
      <c r="A64" s="135">
        <v>1095</v>
      </c>
      <c r="B64" s="136" t="s">
        <v>260</v>
      </c>
      <c r="C64" s="136" t="s">
        <v>261</v>
      </c>
      <c r="D64" s="136" t="s">
        <v>253</v>
      </c>
      <c r="E64" s="137">
        <v>20</v>
      </c>
      <c r="F64" s="138">
        <v>44089</v>
      </c>
      <c r="G64" s="135" t="b">
        <v>1</v>
      </c>
    </row>
    <row r="65" spans="1:7" x14ac:dyDescent="0.25">
      <c r="A65" s="135">
        <v>1096</v>
      </c>
      <c r="B65" s="136" t="s">
        <v>322</v>
      </c>
      <c r="C65" s="136" t="s">
        <v>323</v>
      </c>
      <c r="D65" s="136" t="s">
        <v>253</v>
      </c>
      <c r="E65" s="137">
        <v>100</v>
      </c>
      <c r="F65" s="138">
        <v>44089</v>
      </c>
      <c r="G65" s="135" t="b">
        <v>1</v>
      </c>
    </row>
    <row r="66" spans="1:7" x14ac:dyDescent="0.25">
      <c r="A66" s="135">
        <v>1097</v>
      </c>
      <c r="B66" s="136" t="s">
        <v>262</v>
      </c>
      <c r="C66" s="136" t="s">
        <v>263</v>
      </c>
      <c r="D66" s="136" t="s">
        <v>253</v>
      </c>
      <c r="E66" s="137">
        <v>5</v>
      </c>
      <c r="F66" s="138">
        <v>44090</v>
      </c>
      <c r="G66" s="135" t="b">
        <v>1</v>
      </c>
    </row>
    <row r="67" spans="1:7" x14ac:dyDescent="0.25">
      <c r="A67" s="135">
        <v>1107</v>
      </c>
      <c r="B67" s="136" t="s">
        <v>324</v>
      </c>
      <c r="C67" s="136" t="s">
        <v>325</v>
      </c>
      <c r="D67" s="136" t="s">
        <v>253</v>
      </c>
      <c r="E67" s="137">
        <v>100</v>
      </c>
      <c r="F67" s="138">
        <v>44098</v>
      </c>
      <c r="G67" s="135" t="b">
        <v>1</v>
      </c>
    </row>
    <row r="68" spans="1:7" x14ac:dyDescent="0.25">
      <c r="A68" s="135">
        <v>1108</v>
      </c>
      <c r="B68" s="136" t="s">
        <v>266</v>
      </c>
      <c r="C68" s="136" t="s">
        <v>267</v>
      </c>
      <c r="D68" s="136" t="s">
        <v>253</v>
      </c>
      <c r="E68" s="137">
        <v>20</v>
      </c>
      <c r="F68" s="138">
        <v>44100</v>
      </c>
      <c r="G68" s="135" t="b">
        <v>1</v>
      </c>
    </row>
    <row r="69" spans="1:7" x14ac:dyDescent="0.25">
      <c r="A69" s="135">
        <v>1109</v>
      </c>
      <c r="B69" s="136" t="s">
        <v>326</v>
      </c>
      <c r="C69" s="136" t="s">
        <v>290</v>
      </c>
      <c r="D69" s="136" t="s">
        <v>253</v>
      </c>
      <c r="E69" s="137">
        <v>100</v>
      </c>
      <c r="F69" s="138">
        <v>44102</v>
      </c>
      <c r="G69" s="135" t="b">
        <v>1</v>
      </c>
    </row>
    <row r="70" spans="1:7" x14ac:dyDescent="0.25">
      <c r="A70" s="135">
        <v>1154</v>
      </c>
      <c r="B70" s="136" t="s">
        <v>268</v>
      </c>
      <c r="C70" s="136" t="s">
        <v>269</v>
      </c>
      <c r="D70" s="136" t="s">
        <v>253</v>
      </c>
      <c r="E70" s="137">
        <v>10</v>
      </c>
      <c r="F70" s="138">
        <v>44104</v>
      </c>
      <c r="G70" s="135" t="b">
        <v>1</v>
      </c>
    </row>
    <row r="71" spans="1:7" x14ac:dyDescent="0.25">
      <c r="A71" s="135">
        <v>1155</v>
      </c>
      <c r="B71" s="136" t="s">
        <v>268</v>
      </c>
      <c r="C71" s="136" t="s">
        <v>270</v>
      </c>
      <c r="D71" s="136" t="s">
        <v>253</v>
      </c>
      <c r="E71" s="137">
        <v>10</v>
      </c>
      <c r="F71" s="138">
        <v>44104</v>
      </c>
      <c r="G71" s="135" t="b">
        <v>1</v>
      </c>
    </row>
    <row r="72" spans="1:7" x14ac:dyDescent="0.25">
      <c r="A72" s="135">
        <v>1156</v>
      </c>
      <c r="B72" s="136" t="s">
        <v>271</v>
      </c>
      <c r="C72" s="136" t="s">
        <v>272</v>
      </c>
      <c r="D72" s="136" t="s">
        <v>253</v>
      </c>
      <c r="E72" s="137">
        <v>20</v>
      </c>
      <c r="F72" s="138">
        <v>44104</v>
      </c>
      <c r="G72" s="135" t="b">
        <v>1</v>
      </c>
    </row>
    <row r="73" spans="1:7" x14ac:dyDescent="0.25">
      <c r="A73" s="135">
        <v>1157</v>
      </c>
      <c r="B73" s="136" t="s">
        <v>273</v>
      </c>
      <c r="C73" s="136" t="s">
        <v>274</v>
      </c>
      <c r="D73" s="136" t="s">
        <v>253</v>
      </c>
      <c r="E73" s="137">
        <v>10</v>
      </c>
      <c r="F73" s="138">
        <v>44104</v>
      </c>
      <c r="G73" s="135" t="b">
        <v>1</v>
      </c>
    </row>
    <row r="74" spans="1:7" x14ac:dyDescent="0.25">
      <c r="A74" s="135">
        <v>1111</v>
      </c>
      <c r="B74" s="136" t="s">
        <v>251</v>
      </c>
      <c r="C74" s="136" t="s">
        <v>252</v>
      </c>
      <c r="D74" s="136" t="s">
        <v>253</v>
      </c>
      <c r="E74" s="137">
        <v>25</v>
      </c>
      <c r="F74" s="138">
        <v>44105</v>
      </c>
      <c r="G74" s="135" t="b">
        <v>1</v>
      </c>
    </row>
    <row r="75" spans="1:7" x14ac:dyDescent="0.25">
      <c r="A75" s="135">
        <v>1112</v>
      </c>
      <c r="B75" s="136" t="s">
        <v>327</v>
      </c>
      <c r="C75" s="136" t="s">
        <v>328</v>
      </c>
      <c r="D75" s="136" t="s">
        <v>253</v>
      </c>
      <c r="E75" s="137">
        <v>1200</v>
      </c>
      <c r="F75" s="138">
        <v>44105</v>
      </c>
      <c r="G75" s="135" t="b">
        <v>1</v>
      </c>
    </row>
    <row r="76" spans="1:7" x14ac:dyDescent="0.25">
      <c r="A76" s="135">
        <v>1113</v>
      </c>
      <c r="B76" s="136" t="s">
        <v>329</v>
      </c>
      <c r="C76" s="136" t="s">
        <v>330</v>
      </c>
      <c r="D76" s="136" t="s">
        <v>253</v>
      </c>
      <c r="E76" s="137">
        <v>200</v>
      </c>
      <c r="F76" s="138">
        <v>44110</v>
      </c>
      <c r="G76" s="135" t="b">
        <v>1</v>
      </c>
    </row>
    <row r="77" spans="1:7" x14ac:dyDescent="0.25">
      <c r="A77" s="135">
        <v>1114</v>
      </c>
      <c r="B77" s="136" t="s">
        <v>331</v>
      </c>
      <c r="C77" s="136" t="s">
        <v>332</v>
      </c>
      <c r="D77" s="136" t="s">
        <v>253</v>
      </c>
      <c r="E77" s="137">
        <v>100</v>
      </c>
      <c r="F77" s="138">
        <v>44110</v>
      </c>
      <c r="G77" s="135" t="b">
        <v>1</v>
      </c>
    </row>
    <row r="78" spans="1:7" x14ac:dyDescent="0.25">
      <c r="A78" s="135">
        <v>1115</v>
      </c>
      <c r="B78" s="136" t="s">
        <v>333</v>
      </c>
      <c r="C78" s="136" t="s">
        <v>334</v>
      </c>
      <c r="D78" s="136" t="s">
        <v>253</v>
      </c>
      <c r="E78" s="137">
        <v>500</v>
      </c>
      <c r="F78" s="138">
        <v>44113</v>
      </c>
      <c r="G78" s="135" t="b">
        <v>1</v>
      </c>
    </row>
    <row r="79" spans="1:7" x14ac:dyDescent="0.25">
      <c r="A79" s="135">
        <v>1116</v>
      </c>
      <c r="B79" s="136" t="s">
        <v>277</v>
      </c>
      <c r="C79" s="136" t="s">
        <v>253</v>
      </c>
      <c r="D79" s="136" t="s">
        <v>253</v>
      </c>
      <c r="E79" s="137">
        <v>5305.21</v>
      </c>
      <c r="F79" s="138">
        <v>44113</v>
      </c>
      <c r="G79" s="135" t="b">
        <v>1</v>
      </c>
    </row>
    <row r="80" spans="1:7" x14ac:dyDescent="0.25">
      <c r="A80" s="135">
        <v>1117</v>
      </c>
      <c r="B80" s="136" t="s">
        <v>258</v>
      </c>
      <c r="C80" s="136" t="s">
        <v>259</v>
      </c>
      <c r="D80" s="136" t="s">
        <v>253</v>
      </c>
      <c r="E80" s="137">
        <v>5</v>
      </c>
      <c r="F80" s="138">
        <v>44114</v>
      </c>
      <c r="G80" s="135" t="b">
        <v>1</v>
      </c>
    </row>
    <row r="81" spans="1:7" x14ac:dyDescent="0.25">
      <c r="A81" s="135">
        <v>1128</v>
      </c>
      <c r="B81" s="136" t="s">
        <v>260</v>
      </c>
      <c r="C81" s="136" t="s">
        <v>261</v>
      </c>
      <c r="D81" s="136" t="s">
        <v>253</v>
      </c>
      <c r="E81" s="137">
        <v>20</v>
      </c>
      <c r="F81" s="138">
        <v>44119</v>
      </c>
      <c r="G81" s="135" t="b">
        <v>1</v>
      </c>
    </row>
    <row r="82" spans="1:7" x14ac:dyDescent="0.25">
      <c r="A82" s="135">
        <v>1129</v>
      </c>
      <c r="B82" s="136" t="s">
        <v>335</v>
      </c>
      <c r="C82" s="136" t="s">
        <v>294</v>
      </c>
      <c r="D82" s="136" t="s">
        <v>253</v>
      </c>
      <c r="E82" s="137">
        <v>5000</v>
      </c>
      <c r="F82" s="138">
        <v>44119</v>
      </c>
      <c r="G82" s="135" t="b">
        <v>1</v>
      </c>
    </row>
    <row r="83" spans="1:7" x14ac:dyDescent="0.25">
      <c r="A83" s="135">
        <v>1151</v>
      </c>
      <c r="B83" s="136" t="s">
        <v>262</v>
      </c>
      <c r="C83" s="136" t="s">
        <v>263</v>
      </c>
      <c r="D83" s="136" t="s">
        <v>253</v>
      </c>
      <c r="E83" s="137">
        <v>5</v>
      </c>
      <c r="F83" s="138">
        <v>44120</v>
      </c>
      <c r="G83" s="135" t="b">
        <v>1</v>
      </c>
    </row>
    <row r="84" spans="1:7" x14ac:dyDescent="0.25">
      <c r="A84" s="135">
        <v>1152</v>
      </c>
      <c r="B84" s="136" t="s">
        <v>280</v>
      </c>
      <c r="C84" s="136" t="s">
        <v>252</v>
      </c>
      <c r="D84" s="136" t="s">
        <v>253</v>
      </c>
      <c r="E84" s="137">
        <v>250</v>
      </c>
      <c r="F84" s="138">
        <v>44122</v>
      </c>
      <c r="G84" s="135" t="b">
        <v>1</v>
      </c>
    </row>
    <row r="85" spans="1:7" x14ac:dyDescent="0.25">
      <c r="A85" s="135">
        <v>1158</v>
      </c>
      <c r="B85" s="136" t="s">
        <v>266</v>
      </c>
      <c r="C85" s="136" t="s">
        <v>267</v>
      </c>
      <c r="D85" s="136" t="s">
        <v>253</v>
      </c>
      <c r="E85" s="137">
        <v>20</v>
      </c>
      <c r="F85" s="138">
        <v>44130</v>
      </c>
      <c r="G85" s="135" t="b">
        <v>1</v>
      </c>
    </row>
    <row r="86" spans="1:7" x14ac:dyDescent="0.25">
      <c r="A86" s="135">
        <v>1159</v>
      </c>
      <c r="B86" s="136" t="s">
        <v>268</v>
      </c>
      <c r="C86" s="136" t="s">
        <v>270</v>
      </c>
      <c r="D86" s="136" t="s">
        <v>253</v>
      </c>
      <c r="E86" s="137">
        <v>10</v>
      </c>
      <c r="F86" s="138">
        <v>44134</v>
      </c>
      <c r="G86" s="135" t="b">
        <v>1</v>
      </c>
    </row>
    <row r="87" spans="1:7" x14ac:dyDescent="0.25">
      <c r="A87" s="135">
        <v>1160</v>
      </c>
      <c r="B87" s="136" t="s">
        <v>268</v>
      </c>
      <c r="C87" s="136" t="s">
        <v>269</v>
      </c>
      <c r="D87" s="136" t="s">
        <v>253</v>
      </c>
      <c r="E87" s="137">
        <v>10</v>
      </c>
      <c r="F87" s="138">
        <v>44134</v>
      </c>
      <c r="G87" s="135" t="b">
        <v>1</v>
      </c>
    </row>
    <row r="88" spans="1:7" x14ac:dyDescent="0.25">
      <c r="A88" s="135">
        <v>1161</v>
      </c>
      <c r="B88" s="136" t="s">
        <v>271</v>
      </c>
      <c r="C88" s="136" t="s">
        <v>272</v>
      </c>
      <c r="D88" s="136" t="s">
        <v>253</v>
      </c>
      <c r="E88" s="137">
        <v>20</v>
      </c>
      <c r="F88" s="138">
        <v>44134</v>
      </c>
      <c r="G88" s="135" t="b">
        <v>1</v>
      </c>
    </row>
    <row r="89" spans="1:7" x14ac:dyDescent="0.25">
      <c r="A89" s="135">
        <v>1162</v>
      </c>
      <c r="B89" s="136" t="s">
        <v>336</v>
      </c>
      <c r="C89" s="136" t="s">
        <v>337</v>
      </c>
      <c r="D89" s="136" t="s">
        <v>253</v>
      </c>
      <c r="E89" s="137">
        <f>100-50</f>
        <v>50</v>
      </c>
      <c r="F89" s="138">
        <v>44134</v>
      </c>
      <c r="G89" s="135" t="b">
        <v>1</v>
      </c>
    </row>
    <row r="90" spans="1:7" x14ac:dyDescent="0.25">
      <c r="A90" s="135">
        <v>1163</v>
      </c>
      <c r="B90" s="136" t="s">
        <v>273</v>
      </c>
      <c r="C90" s="136" t="s">
        <v>274</v>
      </c>
      <c r="D90" s="136" t="s">
        <v>253</v>
      </c>
      <c r="E90" s="137">
        <v>10</v>
      </c>
      <c r="F90" s="138">
        <v>44135</v>
      </c>
      <c r="G90" s="135" t="b">
        <v>1</v>
      </c>
    </row>
    <row r="91" spans="1:7" x14ac:dyDescent="0.25">
      <c r="A91" s="135">
        <v>1164</v>
      </c>
      <c r="B91" s="136" t="s">
        <v>251</v>
      </c>
      <c r="C91" s="136" t="s">
        <v>252</v>
      </c>
      <c r="D91" s="136" t="s">
        <v>253</v>
      </c>
      <c r="E91" s="137">
        <v>25</v>
      </c>
      <c r="F91" s="138">
        <v>44136</v>
      </c>
      <c r="G91" s="135" t="b">
        <v>1</v>
      </c>
    </row>
    <row r="92" spans="1:7" x14ac:dyDescent="0.25">
      <c r="A92" s="135">
        <v>1165</v>
      </c>
      <c r="B92" s="136" t="s">
        <v>258</v>
      </c>
      <c r="C92" s="136" t="s">
        <v>259</v>
      </c>
      <c r="D92" s="136" t="s">
        <v>253</v>
      </c>
      <c r="E92" s="137">
        <v>5</v>
      </c>
      <c r="F92" s="138">
        <v>44145</v>
      </c>
      <c r="G92" s="135" t="b">
        <v>1</v>
      </c>
    </row>
    <row r="93" spans="1:7" x14ac:dyDescent="0.25">
      <c r="A93" s="135">
        <v>1166</v>
      </c>
      <c r="B93" s="136" t="s">
        <v>338</v>
      </c>
      <c r="C93" s="136" t="s">
        <v>339</v>
      </c>
      <c r="D93" s="136" t="s">
        <v>253</v>
      </c>
      <c r="E93" s="137">
        <v>4000</v>
      </c>
      <c r="F93" s="138">
        <v>44146</v>
      </c>
      <c r="G93" s="135" t="b">
        <v>1</v>
      </c>
    </row>
    <row r="94" spans="1:7" x14ac:dyDescent="0.25">
      <c r="A94" s="135">
        <v>1167</v>
      </c>
      <c r="B94" s="136" t="s">
        <v>340</v>
      </c>
      <c r="C94" s="136" t="s">
        <v>341</v>
      </c>
      <c r="D94" s="136" t="s">
        <v>253</v>
      </c>
      <c r="E94" s="137">
        <v>5000</v>
      </c>
      <c r="F94" s="138">
        <v>44147</v>
      </c>
      <c r="G94" s="135" t="b">
        <v>1</v>
      </c>
    </row>
    <row r="95" spans="1:7" x14ac:dyDescent="0.25">
      <c r="A95" s="135">
        <v>1173</v>
      </c>
      <c r="B95" s="136" t="s">
        <v>260</v>
      </c>
      <c r="C95" s="136" t="s">
        <v>261</v>
      </c>
      <c r="D95" s="136" t="s">
        <v>253</v>
      </c>
      <c r="E95" s="137">
        <v>20</v>
      </c>
      <c r="F95" s="138">
        <v>44150</v>
      </c>
      <c r="G95" s="135" t="b">
        <v>1</v>
      </c>
    </row>
    <row r="96" spans="1:7" x14ac:dyDescent="0.25">
      <c r="A96" s="135">
        <v>1174</v>
      </c>
      <c r="B96" s="136" t="s">
        <v>262</v>
      </c>
      <c r="C96" s="136" t="s">
        <v>263</v>
      </c>
      <c r="D96" s="136" t="s">
        <v>253</v>
      </c>
      <c r="E96" s="137">
        <v>5</v>
      </c>
      <c r="F96" s="138">
        <v>44151</v>
      </c>
      <c r="G96" s="135" t="b">
        <v>1</v>
      </c>
    </row>
    <row r="97" spans="1:7" x14ac:dyDescent="0.25">
      <c r="A97" s="135">
        <v>1175</v>
      </c>
      <c r="B97" s="136" t="s">
        <v>342</v>
      </c>
      <c r="C97" s="136" t="s">
        <v>343</v>
      </c>
      <c r="D97" s="136" t="s">
        <v>253</v>
      </c>
      <c r="E97" s="137">
        <v>300</v>
      </c>
      <c r="F97" s="138">
        <v>44151</v>
      </c>
      <c r="G97" s="135" t="b">
        <v>1</v>
      </c>
    </row>
    <row r="98" spans="1:7" x14ac:dyDescent="0.25">
      <c r="A98" s="135">
        <v>1186</v>
      </c>
      <c r="B98" s="136" t="s">
        <v>266</v>
      </c>
      <c r="C98" s="136" t="s">
        <v>267</v>
      </c>
      <c r="D98" s="136" t="s">
        <v>253</v>
      </c>
      <c r="E98" s="137">
        <v>20</v>
      </c>
      <c r="F98" s="138">
        <v>44161</v>
      </c>
      <c r="G98" s="135" t="b">
        <v>1</v>
      </c>
    </row>
    <row r="99" spans="1:7" x14ac:dyDescent="0.25">
      <c r="A99" s="135">
        <v>1187</v>
      </c>
      <c r="B99" s="136" t="s">
        <v>268</v>
      </c>
      <c r="C99" s="136" t="s">
        <v>270</v>
      </c>
      <c r="D99" s="136" t="s">
        <v>253</v>
      </c>
      <c r="E99" s="137">
        <v>10</v>
      </c>
      <c r="F99" s="138">
        <v>44165</v>
      </c>
      <c r="G99" s="135" t="b">
        <v>1</v>
      </c>
    </row>
    <row r="100" spans="1:7" x14ac:dyDescent="0.25">
      <c r="A100" s="135">
        <v>1188</v>
      </c>
      <c r="B100" s="136" t="s">
        <v>268</v>
      </c>
      <c r="C100" s="136" t="s">
        <v>269</v>
      </c>
      <c r="D100" s="136" t="s">
        <v>253</v>
      </c>
      <c r="E100" s="137">
        <v>10</v>
      </c>
      <c r="F100" s="138">
        <v>44165</v>
      </c>
      <c r="G100" s="135" t="b">
        <v>1</v>
      </c>
    </row>
    <row r="101" spans="1:7" x14ac:dyDescent="0.25">
      <c r="A101" s="135">
        <v>1189</v>
      </c>
      <c r="B101" s="136" t="s">
        <v>271</v>
      </c>
      <c r="C101" s="136" t="s">
        <v>272</v>
      </c>
      <c r="D101" s="136" t="s">
        <v>253</v>
      </c>
      <c r="E101" s="137">
        <v>20</v>
      </c>
      <c r="F101" s="138">
        <v>44165</v>
      </c>
      <c r="G101" s="135" t="b">
        <v>1</v>
      </c>
    </row>
    <row r="102" spans="1:7" x14ac:dyDescent="0.25">
      <c r="A102" s="135">
        <v>1190</v>
      </c>
      <c r="B102" s="136" t="s">
        <v>273</v>
      </c>
      <c r="C102" s="136" t="s">
        <v>274</v>
      </c>
      <c r="D102" s="136" t="s">
        <v>253</v>
      </c>
      <c r="E102" s="137">
        <v>10</v>
      </c>
      <c r="F102" s="138">
        <v>44165</v>
      </c>
      <c r="G102" s="135" t="b">
        <v>1</v>
      </c>
    </row>
    <row r="103" spans="1:7" x14ac:dyDescent="0.25">
      <c r="A103" s="135">
        <v>1191</v>
      </c>
      <c r="B103" s="136" t="s">
        <v>251</v>
      </c>
      <c r="C103" s="136" t="s">
        <v>252</v>
      </c>
      <c r="D103" s="136" t="s">
        <v>253</v>
      </c>
      <c r="E103" s="137">
        <v>25</v>
      </c>
      <c r="F103" s="138">
        <v>44166</v>
      </c>
      <c r="G103" s="135" t="b">
        <v>1</v>
      </c>
    </row>
    <row r="104" spans="1:7" x14ac:dyDescent="0.25">
      <c r="A104" s="135">
        <v>1192</v>
      </c>
      <c r="B104" s="136" t="s">
        <v>344</v>
      </c>
      <c r="C104" s="136" t="s">
        <v>345</v>
      </c>
      <c r="D104" s="136" t="s">
        <v>253</v>
      </c>
      <c r="E104" s="137">
        <v>100</v>
      </c>
      <c r="F104" s="138">
        <v>44166</v>
      </c>
      <c r="G104" s="135" t="b">
        <v>1</v>
      </c>
    </row>
    <row r="105" spans="1:7" x14ac:dyDescent="0.25">
      <c r="A105" s="135">
        <v>1193</v>
      </c>
      <c r="B105" s="136" t="s">
        <v>346</v>
      </c>
      <c r="C105" s="136" t="s">
        <v>347</v>
      </c>
      <c r="D105" s="136" t="s">
        <v>253</v>
      </c>
      <c r="E105" s="137">
        <v>100</v>
      </c>
      <c r="F105" s="138">
        <v>44166</v>
      </c>
      <c r="G105" s="135" t="b">
        <v>1</v>
      </c>
    </row>
    <row r="106" spans="1:7" x14ac:dyDescent="0.25">
      <c r="A106" s="135">
        <v>1194</v>
      </c>
      <c r="B106" s="136" t="s">
        <v>348</v>
      </c>
      <c r="C106" s="136" t="s">
        <v>349</v>
      </c>
      <c r="D106" s="136" t="s">
        <v>253</v>
      </c>
      <c r="E106" s="137">
        <v>25</v>
      </c>
      <c r="F106" s="138">
        <v>44167</v>
      </c>
      <c r="G106" s="135" t="b">
        <v>1</v>
      </c>
    </row>
    <row r="107" spans="1:7" x14ac:dyDescent="0.25">
      <c r="A107" s="135">
        <v>1195</v>
      </c>
      <c r="B107" s="136" t="s">
        <v>350</v>
      </c>
      <c r="C107" s="136" t="s">
        <v>351</v>
      </c>
      <c r="D107" s="136" t="s">
        <v>253</v>
      </c>
      <c r="E107" s="137">
        <v>750</v>
      </c>
      <c r="F107" s="138">
        <v>44172</v>
      </c>
      <c r="G107" s="135" t="b">
        <v>1</v>
      </c>
    </row>
    <row r="108" spans="1:7" x14ac:dyDescent="0.25">
      <c r="A108" s="135">
        <v>1196</v>
      </c>
      <c r="B108" s="136" t="s">
        <v>258</v>
      </c>
      <c r="C108" s="136" t="s">
        <v>259</v>
      </c>
      <c r="D108" s="136" t="s">
        <v>253</v>
      </c>
      <c r="E108" s="137">
        <v>5</v>
      </c>
      <c r="F108" s="138">
        <v>44175</v>
      </c>
      <c r="G108" s="135" t="b">
        <v>1</v>
      </c>
    </row>
    <row r="109" spans="1:7" x14ac:dyDescent="0.25">
      <c r="A109" s="135">
        <v>1197</v>
      </c>
      <c r="B109" s="136" t="s">
        <v>277</v>
      </c>
      <c r="C109" s="136" t="s">
        <v>253</v>
      </c>
      <c r="D109" s="136" t="s">
        <v>253</v>
      </c>
      <c r="E109" s="137">
        <v>100</v>
      </c>
      <c r="F109" s="138">
        <v>44176</v>
      </c>
      <c r="G109" s="135" t="b">
        <v>1</v>
      </c>
    </row>
    <row r="110" spans="1:7" x14ac:dyDescent="0.25">
      <c r="A110" s="135">
        <v>1203</v>
      </c>
      <c r="B110" s="136" t="s">
        <v>277</v>
      </c>
      <c r="C110" s="136" t="s">
        <v>253</v>
      </c>
      <c r="D110" s="136" t="s">
        <v>253</v>
      </c>
      <c r="E110" s="137">
        <v>1040</v>
      </c>
      <c r="F110" s="138">
        <v>44179</v>
      </c>
      <c r="G110" s="135" t="b">
        <v>1</v>
      </c>
    </row>
    <row r="111" spans="1:7" x14ac:dyDescent="0.25">
      <c r="A111" s="135">
        <v>1204</v>
      </c>
      <c r="B111" s="136" t="s">
        <v>277</v>
      </c>
      <c r="C111" s="136" t="s">
        <v>253</v>
      </c>
      <c r="D111" s="136" t="s">
        <v>253</v>
      </c>
      <c r="E111" s="137">
        <v>1716</v>
      </c>
      <c r="F111" s="138">
        <v>44179</v>
      </c>
      <c r="G111" s="135" t="b">
        <v>1</v>
      </c>
    </row>
    <row r="112" spans="1:7" x14ac:dyDescent="0.25">
      <c r="A112" s="135">
        <v>1205</v>
      </c>
      <c r="B112" s="136" t="s">
        <v>260</v>
      </c>
      <c r="C112" s="136" t="s">
        <v>261</v>
      </c>
      <c r="D112" s="136" t="s">
        <v>253</v>
      </c>
      <c r="E112" s="137">
        <v>20</v>
      </c>
      <c r="F112" s="138">
        <v>44180</v>
      </c>
      <c r="G112" s="135" t="b">
        <v>1</v>
      </c>
    </row>
    <row r="113" spans="1:7" x14ac:dyDescent="0.25">
      <c r="A113" s="135">
        <v>1206</v>
      </c>
      <c r="B113" s="136" t="s">
        <v>262</v>
      </c>
      <c r="C113" s="136" t="s">
        <v>263</v>
      </c>
      <c r="D113" s="136" t="s">
        <v>253</v>
      </c>
      <c r="E113" s="137">
        <v>5</v>
      </c>
      <c r="F113" s="138">
        <v>44181</v>
      </c>
      <c r="G113" s="135" t="b">
        <v>1</v>
      </c>
    </row>
    <row r="114" spans="1:7" x14ac:dyDescent="0.25">
      <c r="A114" s="135">
        <v>1207</v>
      </c>
      <c r="B114" s="136" t="s">
        <v>352</v>
      </c>
      <c r="C114" s="136" t="s">
        <v>353</v>
      </c>
      <c r="D114" s="136" t="s">
        <v>253</v>
      </c>
      <c r="E114" s="137">
        <v>100</v>
      </c>
      <c r="F114" s="138">
        <v>44181</v>
      </c>
      <c r="G114" s="135" t="b">
        <v>1</v>
      </c>
    </row>
    <row r="115" spans="1:7" x14ac:dyDescent="0.25">
      <c r="A115" s="135">
        <v>1208</v>
      </c>
      <c r="B115" s="136" t="s">
        <v>354</v>
      </c>
      <c r="C115" s="136" t="s">
        <v>355</v>
      </c>
      <c r="D115" s="136" t="s">
        <v>253</v>
      </c>
      <c r="E115" s="137">
        <v>500</v>
      </c>
      <c r="F115" s="138">
        <v>44184</v>
      </c>
      <c r="G115" s="135" t="b">
        <v>1</v>
      </c>
    </row>
    <row r="116" spans="1:7" x14ac:dyDescent="0.25">
      <c r="A116" s="135">
        <v>1209</v>
      </c>
      <c r="B116" s="136" t="s">
        <v>356</v>
      </c>
      <c r="C116" s="136" t="s">
        <v>357</v>
      </c>
      <c r="D116" s="136" t="s">
        <v>253</v>
      </c>
      <c r="E116" s="137">
        <v>250</v>
      </c>
      <c r="F116" s="138">
        <v>44189</v>
      </c>
      <c r="G116" s="135" t="b">
        <v>1</v>
      </c>
    </row>
    <row r="117" spans="1:7" x14ac:dyDescent="0.25">
      <c r="A117" s="135">
        <v>1210</v>
      </c>
      <c r="B117" s="136" t="s">
        <v>266</v>
      </c>
      <c r="C117" s="136" t="s">
        <v>267</v>
      </c>
      <c r="D117" s="136" t="s">
        <v>253</v>
      </c>
      <c r="E117" s="137">
        <v>20</v>
      </c>
      <c r="F117" s="138">
        <v>44191</v>
      </c>
      <c r="G117" s="135" t="b">
        <v>1</v>
      </c>
    </row>
    <row r="118" spans="1:7" x14ac:dyDescent="0.25">
      <c r="A118" s="135">
        <v>1211</v>
      </c>
      <c r="B118" s="136" t="s">
        <v>358</v>
      </c>
      <c r="C118" s="136" t="s">
        <v>359</v>
      </c>
      <c r="D118" s="136" t="s">
        <v>253</v>
      </c>
      <c r="E118" s="137">
        <v>300</v>
      </c>
      <c r="F118" s="138">
        <v>44193</v>
      </c>
      <c r="G118" s="135" t="b">
        <v>1</v>
      </c>
    </row>
    <row r="119" spans="1:7" x14ac:dyDescent="0.25">
      <c r="A119" s="135">
        <v>1212</v>
      </c>
      <c r="B119" s="136" t="s">
        <v>268</v>
      </c>
      <c r="C119" s="136" t="s">
        <v>270</v>
      </c>
      <c r="D119" s="136" t="s">
        <v>253</v>
      </c>
      <c r="E119" s="137">
        <v>10</v>
      </c>
      <c r="F119" s="138">
        <v>44195</v>
      </c>
      <c r="G119" s="135" t="b">
        <v>1</v>
      </c>
    </row>
    <row r="120" spans="1:7" x14ac:dyDescent="0.25">
      <c r="A120" s="135">
        <v>1213</v>
      </c>
      <c r="B120" s="136" t="s">
        <v>268</v>
      </c>
      <c r="C120" s="136" t="s">
        <v>269</v>
      </c>
      <c r="D120" s="136" t="s">
        <v>253</v>
      </c>
      <c r="E120" s="137">
        <v>10</v>
      </c>
      <c r="F120" s="138">
        <v>44195</v>
      </c>
      <c r="G120" s="135" t="b">
        <v>1</v>
      </c>
    </row>
    <row r="121" spans="1:7" x14ac:dyDescent="0.25">
      <c r="A121" s="135">
        <v>1214</v>
      </c>
      <c r="B121" s="136" t="s">
        <v>271</v>
      </c>
      <c r="C121" s="136" t="s">
        <v>272</v>
      </c>
      <c r="D121" s="136" t="s">
        <v>253</v>
      </c>
      <c r="E121" s="137">
        <v>20</v>
      </c>
      <c r="F121" s="138">
        <v>44195</v>
      </c>
      <c r="G121" s="135" t="b">
        <v>1</v>
      </c>
    </row>
    <row r="122" spans="1:7" x14ac:dyDescent="0.25">
      <c r="A122" s="135">
        <v>1215</v>
      </c>
      <c r="B122" s="136" t="s">
        <v>273</v>
      </c>
      <c r="C122" s="136" t="s">
        <v>274</v>
      </c>
      <c r="D122" s="136" t="s">
        <v>253</v>
      </c>
      <c r="E122" s="137">
        <v>10</v>
      </c>
      <c r="F122" s="138">
        <v>44196</v>
      </c>
      <c r="G122" s="135" t="b">
        <v>1</v>
      </c>
    </row>
    <row r="123" spans="1:7" x14ac:dyDescent="0.25">
      <c r="A123" s="135">
        <v>1216</v>
      </c>
      <c r="B123" s="136" t="s">
        <v>360</v>
      </c>
      <c r="C123" s="136" t="s">
        <v>361</v>
      </c>
      <c r="D123" s="136" t="s">
        <v>253</v>
      </c>
      <c r="E123" s="137">
        <v>200</v>
      </c>
      <c r="F123" s="138">
        <v>44196</v>
      </c>
      <c r="G123" s="135" t="b">
        <v>1</v>
      </c>
    </row>
    <row r="124" spans="1:7" x14ac:dyDescent="0.25">
      <c r="A124" s="135">
        <v>1220</v>
      </c>
      <c r="B124" s="136" t="s">
        <v>251</v>
      </c>
      <c r="C124" s="136" t="s">
        <v>252</v>
      </c>
      <c r="D124" s="136" t="s">
        <v>253</v>
      </c>
      <c r="E124" s="137">
        <v>25</v>
      </c>
      <c r="F124" s="138">
        <v>44197</v>
      </c>
      <c r="G124" s="135" t="b">
        <v>1</v>
      </c>
    </row>
    <row r="125" spans="1:7" x14ac:dyDescent="0.25">
      <c r="A125" s="135">
        <v>1221</v>
      </c>
      <c r="B125" s="136" t="s">
        <v>258</v>
      </c>
      <c r="C125" s="136" t="s">
        <v>259</v>
      </c>
      <c r="D125" s="136" t="s">
        <v>253</v>
      </c>
      <c r="E125" s="137">
        <v>5</v>
      </c>
      <c r="F125" s="138">
        <v>44206</v>
      </c>
      <c r="G125" s="135" t="b">
        <v>1</v>
      </c>
    </row>
    <row r="126" spans="1:7" x14ac:dyDescent="0.25">
      <c r="A126" s="135">
        <v>1222</v>
      </c>
      <c r="B126" s="136" t="s">
        <v>260</v>
      </c>
      <c r="C126" s="136" t="s">
        <v>261</v>
      </c>
      <c r="D126" s="136" t="s">
        <v>253</v>
      </c>
      <c r="E126" s="137">
        <v>20</v>
      </c>
      <c r="F126" s="138">
        <v>44211</v>
      </c>
      <c r="G126" s="135" t="b">
        <v>1</v>
      </c>
    </row>
    <row r="127" spans="1:7" x14ac:dyDescent="0.25">
      <c r="A127" s="135">
        <v>1223</v>
      </c>
      <c r="B127" s="136" t="s">
        <v>262</v>
      </c>
      <c r="C127" s="136" t="s">
        <v>263</v>
      </c>
      <c r="D127" s="136" t="s">
        <v>253</v>
      </c>
      <c r="E127" s="137">
        <v>5</v>
      </c>
      <c r="F127" s="138">
        <v>44212</v>
      </c>
      <c r="G127" s="135" t="b">
        <v>1</v>
      </c>
    </row>
    <row r="128" spans="1:7" x14ac:dyDescent="0.25">
      <c r="A128" s="135">
        <v>1224</v>
      </c>
      <c r="B128" s="136" t="s">
        <v>266</v>
      </c>
      <c r="C128" s="136" t="s">
        <v>267</v>
      </c>
      <c r="D128" s="136" t="s">
        <v>253</v>
      </c>
      <c r="E128" s="137">
        <v>20</v>
      </c>
      <c r="F128" s="138">
        <v>44222</v>
      </c>
      <c r="G128" s="135" t="b">
        <v>1</v>
      </c>
    </row>
    <row r="129" spans="1:7" x14ac:dyDescent="0.25">
      <c r="A129" s="135">
        <v>1228</v>
      </c>
      <c r="B129" s="136" t="s">
        <v>268</v>
      </c>
      <c r="C129" s="136" t="s">
        <v>270</v>
      </c>
      <c r="D129" s="136" t="s">
        <v>253</v>
      </c>
      <c r="E129" s="137">
        <v>10</v>
      </c>
      <c r="F129" s="138">
        <v>44226</v>
      </c>
      <c r="G129" s="135" t="b">
        <v>1</v>
      </c>
    </row>
    <row r="130" spans="1:7" x14ac:dyDescent="0.25">
      <c r="A130" s="135">
        <v>1229</v>
      </c>
      <c r="B130" s="136" t="s">
        <v>268</v>
      </c>
      <c r="C130" s="136" t="s">
        <v>269</v>
      </c>
      <c r="D130" s="136" t="s">
        <v>253</v>
      </c>
      <c r="E130" s="137">
        <v>10</v>
      </c>
      <c r="F130" s="138">
        <v>44226</v>
      </c>
      <c r="G130" s="135" t="b">
        <v>1</v>
      </c>
    </row>
    <row r="131" spans="1:7" x14ac:dyDescent="0.25">
      <c r="A131" s="135">
        <v>1230</v>
      </c>
      <c r="B131" s="136" t="s">
        <v>271</v>
      </c>
      <c r="C131" s="136" t="s">
        <v>272</v>
      </c>
      <c r="D131" s="136" t="s">
        <v>253</v>
      </c>
      <c r="E131" s="137">
        <v>20</v>
      </c>
      <c r="F131" s="138">
        <v>44226</v>
      </c>
      <c r="G131" s="135" t="b">
        <v>1</v>
      </c>
    </row>
    <row r="132" spans="1:7" x14ac:dyDescent="0.25">
      <c r="A132" s="135">
        <v>1231</v>
      </c>
      <c r="B132" s="136" t="s">
        <v>273</v>
      </c>
      <c r="C132" s="136" t="s">
        <v>274</v>
      </c>
      <c r="D132" s="136" t="s">
        <v>253</v>
      </c>
      <c r="E132" s="137">
        <v>10</v>
      </c>
      <c r="F132" s="138">
        <v>44227</v>
      </c>
      <c r="G132" s="135" t="b">
        <v>1</v>
      </c>
    </row>
    <row r="133" spans="1:7" x14ac:dyDescent="0.25">
      <c r="A133" s="135">
        <v>1227</v>
      </c>
      <c r="B133" s="136" t="s">
        <v>258</v>
      </c>
      <c r="C133" s="136" t="s">
        <v>259</v>
      </c>
      <c r="D133" s="136" t="s">
        <v>253</v>
      </c>
      <c r="E133" s="137">
        <v>5</v>
      </c>
      <c r="F133" s="138">
        <v>44237</v>
      </c>
      <c r="G133" s="135" t="b">
        <v>1</v>
      </c>
    </row>
    <row r="134" spans="1:7" x14ac:dyDescent="0.25">
      <c r="A134" s="135">
        <v>1232</v>
      </c>
      <c r="B134" s="136" t="s">
        <v>266</v>
      </c>
      <c r="C134" s="136" t="s">
        <v>267</v>
      </c>
      <c r="D134" s="136" t="s">
        <v>253</v>
      </c>
      <c r="E134" s="137">
        <v>20</v>
      </c>
      <c r="F134" s="138">
        <v>44253</v>
      </c>
      <c r="G134" s="135" t="b">
        <v>1</v>
      </c>
    </row>
    <row r="135" spans="1:7" x14ac:dyDescent="0.25">
      <c r="A135" s="135">
        <v>1233</v>
      </c>
      <c r="B135" s="136" t="s">
        <v>268</v>
      </c>
      <c r="C135" s="136" t="s">
        <v>270</v>
      </c>
      <c r="D135" s="136" t="s">
        <v>253</v>
      </c>
      <c r="E135" s="137">
        <v>10</v>
      </c>
      <c r="F135" s="138">
        <v>44255</v>
      </c>
      <c r="G135" s="135" t="b">
        <v>1</v>
      </c>
    </row>
    <row r="136" spans="1:7" x14ac:dyDescent="0.25">
      <c r="A136" s="135">
        <v>1234</v>
      </c>
      <c r="B136" s="136" t="s">
        <v>268</v>
      </c>
      <c r="C136" s="136" t="s">
        <v>269</v>
      </c>
      <c r="D136" s="136" t="s">
        <v>253</v>
      </c>
      <c r="E136" s="137">
        <v>10</v>
      </c>
      <c r="F136" s="138">
        <v>44255</v>
      </c>
      <c r="G136" s="135" t="b">
        <v>1</v>
      </c>
    </row>
    <row r="137" spans="1:7" x14ac:dyDescent="0.25">
      <c r="A137" s="135">
        <v>1235</v>
      </c>
      <c r="B137" s="136" t="s">
        <v>271</v>
      </c>
      <c r="C137" s="136" t="s">
        <v>272</v>
      </c>
      <c r="D137" s="136" t="s">
        <v>253</v>
      </c>
      <c r="E137" s="137">
        <v>20</v>
      </c>
      <c r="F137" s="138">
        <v>44255</v>
      </c>
      <c r="G137" s="135" t="b">
        <v>1</v>
      </c>
    </row>
    <row r="138" spans="1:7" x14ac:dyDescent="0.25">
      <c r="A138" s="135">
        <v>1236</v>
      </c>
      <c r="B138" s="136" t="s">
        <v>273</v>
      </c>
      <c r="C138" s="136" t="s">
        <v>274</v>
      </c>
      <c r="D138" s="136" t="s">
        <v>253</v>
      </c>
      <c r="E138" s="137">
        <v>10</v>
      </c>
      <c r="F138" s="138">
        <v>44255</v>
      </c>
      <c r="G138" s="135" t="b">
        <v>1</v>
      </c>
    </row>
    <row r="139" spans="1:7" x14ac:dyDescent="0.25">
      <c r="A139" s="135">
        <v>1244</v>
      </c>
      <c r="B139" s="136" t="s">
        <v>258</v>
      </c>
      <c r="C139" s="136" t="s">
        <v>259</v>
      </c>
      <c r="D139" s="136" t="s">
        <v>253</v>
      </c>
      <c r="E139" s="137">
        <v>5</v>
      </c>
      <c r="F139" s="138">
        <v>44265</v>
      </c>
      <c r="G139" s="135" t="b">
        <v>1</v>
      </c>
    </row>
    <row r="140" spans="1:7" x14ac:dyDescent="0.25">
      <c r="A140" s="135">
        <v>1245</v>
      </c>
      <c r="B140" s="136" t="s">
        <v>277</v>
      </c>
      <c r="C140" s="136" t="s">
        <v>253</v>
      </c>
      <c r="D140" s="136" t="s">
        <v>253</v>
      </c>
      <c r="E140" s="137">
        <v>25</v>
      </c>
      <c r="F140" s="138">
        <v>44270</v>
      </c>
      <c r="G140" s="135" t="b">
        <v>1</v>
      </c>
    </row>
    <row r="141" spans="1:7" x14ac:dyDescent="0.25">
      <c r="A141" s="135">
        <v>1249</v>
      </c>
      <c r="B141" s="136" t="s">
        <v>266</v>
      </c>
      <c r="C141" s="136" t="s">
        <v>267</v>
      </c>
      <c r="D141" s="136" t="s">
        <v>253</v>
      </c>
      <c r="E141" s="137">
        <v>20</v>
      </c>
      <c r="F141" s="138">
        <v>44281</v>
      </c>
      <c r="G141" s="135" t="b">
        <v>1</v>
      </c>
    </row>
    <row r="142" spans="1:7" x14ac:dyDescent="0.25">
      <c r="A142" s="135">
        <v>1246</v>
      </c>
      <c r="B142" s="136" t="s">
        <v>268</v>
      </c>
      <c r="C142" s="136" t="s">
        <v>270</v>
      </c>
      <c r="D142" s="136" t="s">
        <v>253</v>
      </c>
      <c r="E142" s="137">
        <v>10</v>
      </c>
      <c r="F142" s="138">
        <v>44285</v>
      </c>
      <c r="G142" s="135" t="b">
        <v>1</v>
      </c>
    </row>
    <row r="143" spans="1:7" x14ac:dyDescent="0.25">
      <c r="A143" s="135">
        <v>1247</v>
      </c>
      <c r="B143" s="136" t="s">
        <v>268</v>
      </c>
      <c r="C143" s="136" t="s">
        <v>269</v>
      </c>
      <c r="D143" s="136" t="s">
        <v>253</v>
      </c>
      <c r="E143" s="137">
        <v>10</v>
      </c>
      <c r="F143" s="138">
        <v>44285</v>
      </c>
      <c r="G143" s="135" t="b">
        <v>1</v>
      </c>
    </row>
    <row r="144" spans="1:7" x14ac:dyDescent="0.25">
      <c r="A144" s="135">
        <v>1248</v>
      </c>
      <c r="B144" s="136" t="s">
        <v>271</v>
      </c>
      <c r="C144" s="136" t="s">
        <v>272</v>
      </c>
      <c r="D144" s="136" t="s">
        <v>253</v>
      </c>
      <c r="E144" s="137">
        <v>20</v>
      </c>
      <c r="F144" s="138">
        <v>44285</v>
      </c>
      <c r="G144" s="135" t="b">
        <v>1</v>
      </c>
    </row>
    <row r="145" spans="1:7" x14ac:dyDescent="0.25">
      <c r="A145" s="135">
        <v>1255</v>
      </c>
      <c r="B145" s="136" t="s">
        <v>273</v>
      </c>
      <c r="C145" s="136" t="s">
        <v>274</v>
      </c>
      <c r="D145" s="136" t="s">
        <v>253</v>
      </c>
      <c r="E145" s="137">
        <v>10</v>
      </c>
      <c r="F145" s="138">
        <v>44286</v>
      </c>
      <c r="G145" s="135" t="b">
        <v>1</v>
      </c>
    </row>
    <row r="146" spans="1:7" x14ac:dyDescent="0.25">
      <c r="A146" s="135">
        <v>1250</v>
      </c>
      <c r="B146" s="136" t="s">
        <v>258</v>
      </c>
      <c r="C146" s="136" t="s">
        <v>259</v>
      </c>
      <c r="D146" s="136" t="s">
        <v>253</v>
      </c>
      <c r="E146" s="137">
        <v>5</v>
      </c>
      <c r="F146" s="138">
        <v>44296</v>
      </c>
      <c r="G146" s="135" t="b">
        <v>1</v>
      </c>
    </row>
    <row r="147" spans="1:7" x14ac:dyDescent="0.25">
      <c r="A147" s="135">
        <v>1254</v>
      </c>
      <c r="B147" s="136" t="s">
        <v>266</v>
      </c>
      <c r="C147" s="136" t="s">
        <v>267</v>
      </c>
      <c r="D147" s="136" t="s">
        <v>253</v>
      </c>
      <c r="E147" s="137">
        <v>20</v>
      </c>
      <c r="F147" s="138">
        <v>44312</v>
      </c>
      <c r="G147" s="135" t="b">
        <v>1</v>
      </c>
    </row>
    <row r="148" spans="1:7" x14ac:dyDescent="0.25">
      <c r="A148" s="135">
        <v>1251</v>
      </c>
      <c r="B148" s="136" t="s">
        <v>268</v>
      </c>
      <c r="C148" s="136" t="s">
        <v>270</v>
      </c>
      <c r="D148" s="136" t="s">
        <v>253</v>
      </c>
      <c r="E148" s="137">
        <v>10</v>
      </c>
      <c r="F148" s="138">
        <v>44316</v>
      </c>
      <c r="G148" s="135" t="b">
        <v>1</v>
      </c>
    </row>
    <row r="149" spans="1:7" x14ac:dyDescent="0.25">
      <c r="A149" s="135">
        <v>1252</v>
      </c>
      <c r="B149" s="136" t="s">
        <v>268</v>
      </c>
      <c r="C149" s="136" t="s">
        <v>269</v>
      </c>
      <c r="D149" s="136" t="s">
        <v>253</v>
      </c>
      <c r="E149" s="137">
        <v>10</v>
      </c>
      <c r="F149" s="138">
        <v>44316</v>
      </c>
      <c r="G149" s="135" t="b">
        <v>1</v>
      </c>
    </row>
    <row r="150" spans="1:7" x14ac:dyDescent="0.25">
      <c r="A150" s="135">
        <v>1253</v>
      </c>
      <c r="B150" s="136" t="s">
        <v>271</v>
      </c>
      <c r="C150" s="136" t="s">
        <v>272</v>
      </c>
      <c r="D150" s="136" t="s">
        <v>253</v>
      </c>
      <c r="E150" s="137">
        <v>20</v>
      </c>
      <c r="F150" s="138">
        <v>44316</v>
      </c>
      <c r="G150" s="135" t="b">
        <v>1</v>
      </c>
    </row>
    <row r="151" spans="1:7" x14ac:dyDescent="0.25">
      <c r="A151" s="135">
        <v>1256</v>
      </c>
      <c r="B151" s="136" t="s">
        <v>273</v>
      </c>
      <c r="C151" s="136" t="s">
        <v>274</v>
      </c>
      <c r="D151" s="136" t="s">
        <v>253</v>
      </c>
      <c r="E151" s="137">
        <v>10</v>
      </c>
      <c r="F151" s="138">
        <v>44316</v>
      </c>
      <c r="G151" s="135" t="b">
        <v>1</v>
      </c>
    </row>
    <row r="152" spans="1:7" x14ac:dyDescent="0.25">
      <c r="A152" s="135">
        <v>1257</v>
      </c>
      <c r="B152" s="136" t="s">
        <v>258</v>
      </c>
      <c r="C152" s="136" t="s">
        <v>259</v>
      </c>
      <c r="D152" s="136" t="s">
        <v>253</v>
      </c>
      <c r="E152" s="137">
        <v>5</v>
      </c>
      <c r="F152" s="138">
        <v>44326</v>
      </c>
      <c r="G152" s="135" t="b">
        <v>1</v>
      </c>
    </row>
    <row r="153" spans="1:7" x14ac:dyDescent="0.25">
      <c r="A153" s="135">
        <v>1261</v>
      </c>
      <c r="B153" s="136" t="s">
        <v>266</v>
      </c>
      <c r="C153" s="136" t="s">
        <v>267</v>
      </c>
      <c r="D153" s="136" t="s">
        <v>253</v>
      </c>
      <c r="E153" s="137">
        <v>20</v>
      </c>
      <c r="F153" s="138">
        <v>44342</v>
      </c>
      <c r="G153" s="135" t="b">
        <v>1</v>
      </c>
    </row>
    <row r="154" spans="1:7" x14ac:dyDescent="0.25">
      <c r="A154" s="135">
        <v>1258</v>
      </c>
      <c r="B154" s="136" t="s">
        <v>268</v>
      </c>
      <c r="C154" s="136" t="s">
        <v>270</v>
      </c>
      <c r="D154" s="136" t="s">
        <v>253</v>
      </c>
      <c r="E154" s="137">
        <v>35</v>
      </c>
      <c r="F154" s="138">
        <v>44347</v>
      </c>
      <c r="G154" s="135" t="b">
        <v>1</v>
      </c>
    </row>
    <row r="155" spans="1:7" x14ac:dyDescent="0.25">
      <c r="A155" s="135">
        <v>1259</v>
      </c>
      <c r="B155" s="136" t="s">
        <v>268</v>
      </c>
      <c r="C155" s="136" t="s">
        <v>269</v>
      </c>
      <c r="D155" s="136" t="s">
        <v>253</v>
      </c>
      <c r="E155" s="137">
        <v>35</v>
      </c>
      <c r="F155" s="138">
        <v>44347</v>
      </c>
      <c r="G155" s="135" t="b">
        <v>1</v>
      </c>
    </row>
    <row r="156" spans="1:7" x14ac:dyDescent="0.25">
      <c r="A156" s="135">
        <v>1260</v>
      </c>
      <c r="B156" s="136" t="s">
        <v>271</v>
      </c>
      <c r="C156" s="136" t="s">
        <v>272</v>
      </c>
      <c r="D156" s="136" t="s">
        <v>253</v>
      </c>
      <c r="E156" s="137">
        <v>20</v>
      </c>
      <c r="F156" s="138">
        <v>44347</v>
      </c>
      <c r="G156" s="135" t="b">
        <v>1</v>
      </c>
    </row>
    <row r="157" spans="1:7" x14ac:dyDescent="0.25">
      <c r="A157" s="135">
        <v>1262</v>
      </c>
      <c r="B157" s="136" t="s">
        <v>273</v>
      </c>
      <c r="C157" s="136" t="s">
        <v>274</v>
      </c>
      <c r="D157" s="136" t="s">
        <v>253</v>
      </c>
      <c r="E157" s="137">
        <v>10</v>
      </c>
      <c r="F157" s="138">
        <v>44347</v>
      </c>
      <c r="G157" s="135" t="b">
        <v>1</v>
      </c>
    </row>
    <row r="159" spans="1:7" x14ac:dyDescent="0.25">
      <c r="E159" s="139">
        <f>SUM(E2:E157)</f>
        <v>48936.21</v>
      </c>
    </row>
  </sheetData>
  <pageMargins left="0.7" right="0.7" top="0.75" bottom="0.75" header="0.3" footer="0.3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68"/>
  <sheetViews>
    <sheetView topLeftCell="A33" zoomScale="98" zoomScaleNormal="98" workbookViewId="0">
      <selection activeCell="F35" sqref="F35"/>
    </sheetView>
  </sheetViews>
  <sheetFormatPr defaultRowHeight="15" x14ac:dyDescent="0.25"/>
  <cols>
    <col min="1" max="4" width="8.7109375" customWidth="1"/>
    <col min="5" max="5" width="15.140625" customWidth="1"/>
    <col min="6" max="6" width="14.28515625" customWidth="1"/>
    <col min="7" max="7" width="8.7109375" customWidth="1"/>
    <col min="8" max="8" width="12.5703125" customWidth="1"/>
    <col min="9" max="9" width="11.5703125" customWidth="1"/>
    <col min="10" max="10" width="8.7109375" customWidth="1"/>
    <col min="11" max="11" width="11.5703125" customWidth="1"/>
    <col min="12" max="14" width="8.7109375" customWidth="1"/>
    <col min="15" max="15" width="11.5703125" customWidth="1"/>
    <col min="16" max="16" width="8.7109375" customWidth="1"/>
    <col min="17" max="17" width="10.5703125" customWidth="1"/>
    <col min="18" max="19" width="11.5703125" customWidth="1"/>
    <col min="20" max="1025" width="8.7109375" customWidth="1"/>
  </cols>
  <sheetData>
    <row r="1" spans="1:21" ht="21" x14ac:dyDescent="0.35">
      <c r="A1" s="116" t="s">
        <v>0</v>
      </c>
      <c r="B1" s="116"/>
      <c r="C1" s="116"/>
      <c r="D1" s="116"/>
      <c r="E1" s="116"/>
      <c r="F1" s="116"/>
      <c r="G1" s="116"/>
    </row>
    <row r="2" spans="1:21" x14ac:dyDescent="0.25">
      <c r="A2" s="118" t="s">
        <v>69</v>
      </c>
      <c r="B2" s="118"/>
      <c r="C2" s="118"/>
    </row>
    <row r="3" spans="1:21" x14ac:dyDescent="0.25">
      <c r="A3" t="str">
        <f>'Position Statement'!F3</f>
        <v>AS OF: May 31, 2022</v>
      </c>
    </row>
    <row r="6" spans="1:21" ht="15.75" x14ac:dyDescent="0.25">
      <c r="A6" s="1" t="s">
        <v>70</v>
      </c>
      <c r="F6" s="22">
        <f>[1]Chequing!$F$55</f>
        <v>33563.460000000028</v>
      </c>
      <c r="H6" s="3">
        <f>F6-58365.99-19.95</f>
        <v>-24822.47999999997</v>
      </c>
      <c r="I6" s="3"/>
      <c r="O6" t="s">
        <v>71</v>
      </c>
      <c r="Q6" t="s">
        <v>72</v>
      </c>
    </row>
    <row r="7" spans="1:21" ht="15.75" x14ac:dyDescent="0.25">
      <c r="A7" s="1"/>
      <c r="F7" s="21"/>
    </row>
    <row r="8" spans="1:21" x14ac:dyDescent="0.25">
      <c r="B8" s="4" t="s">
        <v>73</v>
      </c>
      <c r="K8" s="3"/>
      <c r="M8" s="5"/>
      <c r="O8" s="3">
        <v>96.51</v>
      </c>
    </row>
    <row r="9" spans="1:21" x14ac:dyDescent="0.25">
      <c r="C9" t="s">
        <v>74</v>
      </c>
      <c r="F9" s="115">
        <f>SUM(Contributions!X10)-F66+[5]Chequing!$F$66</f>
        <v>100</v>
      </c>
      <c r="J9" s="5">
        <f>ROUND(F9-O13-Q13,2)</f>
        <v>0</v>
      </c>
      <c r="K9" s="3" t="str">
        <f>IF(J9=0,"Check","Error")</f>
        <v>Check</v>
      </c>
    </row>
    <row r="10" spans="1:21" x14ac:dyDescent="0.25">
      <c r="C10" t="s">
        <v>75</v>
      </c>
      <c r="F10" s="115">
        <f>SUM('Net Shed Tally Sheets - 1:Sheet 15'!F23)+F67+[1]Chequing!$F$67</f>
        <v>1</v>
      </c>
      <c r="I10" s="3"/>
      <c r="J10" s="5"/>
      <c r="K10" s="3"/>
      <c r="Q10" s="5">
        <f>F58</f>
        <v>3.49</v>
      </c>
      <c r="R10" t="s">
        <v>76</v>
      </c>
    </row>
    <row r="11" spans="1:21" x14ac:dyDescent="0.25">
      <c r="C11" t="s">
        <v>77</v>
      </c>
      <c r="F11" s="21">
        <f>'Deposit Slip'!G24</f>
        <v>1832</v>
      </c>
      <c r="H11" s="23">
        <f>'Deposit Slip'!D2</f>
        <v>44703</v>
      </c>
      <c r="K11" s="3"/>
      <c r="Q11" s="5">
        <f>SUM(Contributions!Y10)</f>
        <v>3.49</v>
      </c>
    </row>
    <row r="12" spans="1:21" x14ac:dyDescent="0.25">
      <c r="C12" t="s">
        <v>77</v>
      </c>
      <c r="F12" s="21">
        <f>'Deposit Slip (2)'!G24</f>
        <v>1952</v>
      </c>
      <c r="H12" s="23">
        <f>'Deposit Slip (2)'!C2</f>
        <v>44711</v>
      </c>
      <c r="K12" s="3"/>
      <c r="Q12" s="5">
        <f>[1]Chequing!$F$58</f>
        <v>3.49</v>
      </c>
      <c r="R12" t="s">
        <v>78</v>
      </c>
    </row>
    <row r="13" spans="1:21" x14ac:dyDescent="0.25">
      <c r="C13" t="s">
        <v>77</v>
      </c>
      <c r="F13" s="21">
        <f>'Deposit Slip (3)'!G24</f>
        <v>0</v>
      </c>
      <c r="H13" s="23">
        <f>'Deposit Slip (3)'!C2</f>
        <v>44498</v>
      </c>
      <c r="J13" s="5"/>
      <c r="O13" s="3">
        <f>SUM(O8:O12)</f>
        <v>96.51</v>
      </c>
      <c r="Q13" s="3">
        <f>SUM(Q11:Q12)-Q10</f>
        <v>3.49</v>
      </c>
      <c r="S13" s="3">
        <f>O13+Q13</f>
        <v>100</v>
      </c>
      <c r="U13" s="3">
        <f>F9-S13</f>
        <v>0</v>
      </c>
    </row>
    <row r="14" spans="1:21" x14ac:dyDescent="0.25">
      <c r="C14" t="s">
        <v>77</v>
      </c>
      <c r="F14" s="21">
        <f>'Deposit Slip (4)'!G24</f>
        <v>0</v>
      </c>
      <c r="H14" s="23">
        <f>'Deposit Slip (4)'!C2</f>
        <v>44466</v>
      </c>
      <c r="M14" s="5"/>
      <c r="N14" s="24"/>
      <c r="O14" s="3"/>
    </row>
    <row r="15" spans="1:21" x14ac:dyDescent="0.25">
      <c r="C15" t="s">
        <v>77</v>
      </c>
      <c r="F15" s="21">
        <f>'Deposit Slip (5)'!$G$24</f>
        <v>0</v>
      </c>
      <c r="H15" s="23">
        <f>'[6]Deposit Slip (5)'!$C$2</f>
        <v>44414</v>
      </c>
      <c r="M15" s="5"/>
      <c r="N15" s="24"/>
      <c r="O15" s="3"/>
    </row>
    <row r="16" spans="1:21" x14ac:dyDescent="0.25">
      <c r="C16" t="s">
        <v>100</v>
      </c>
      <c r="F16" s="21"/>
      <c r="H16" s="23"/>
    </row>
    <row r="17" spans="2:19" x14ac:dyDescent="0.25">
      <c r="C17" t="s">
        <v>42</v>
      </c>
      <c r="F17" s="21"/>
    </row>
    <row r="19" spans="2:19" x14ac:dyDescent="0.25">
      <c r="E19" s="4" t="s">
        <v>44</v>
      </c>
      <c r="F19" s="20">
        <f>SUM(F9:F18)</f>
        <v>3885</v>
      </c>
      <c r="H19" s="5">
        <f>F19-F39+1.95</f>
        <v>3883.46</v>
      </c>
      <c r="S19" s="5"/>
    </row>
    <row r="20" spans="2:19" x14ac:dyDescent="0.25">
      <c r="E20" s="4"/>
      <c r="F20" s="25"/>
      <c r="H20" s="5"/>
    </row>
    <row r="21" spans="2:19" x14ac:dyDescent="0.25">
      <c r="B21" s="4" t="s">
        <v>79</v>
      </c>
      <c r="E21" s="4"/>
      <c r="F21" s="25"/>
    </row>
    <row r="22" spans="2:19" x14ac:dyDescent="0.25">
      <c r="C22" t="s">
        <v>149</v>
      </c>
      <c r="E22" s="4"/>
      <c r="F22" s="21"/>
    </row>
    <row r="23" spans="2:19" x14ac:dyDescent="0.25">
      <c r="C23" t="s">
        <v>80</v>
      </c>
      <c r="E23" s="4"/>
      <c r="F23" s="21"/>
    </row>
    <row r="24" spans="2:19" x14ac:dyDescent="0.25">
      <c r="C24" t="s">
        <v>81</v>
      </c>
      <c r="E24" s="4"/>
      <c r="F24" s="21"/>
    </row>
    <row r="25" spans="2:19" x14ac:dyDescent="0.25">
      <c r="E25" s="4"/>
      <c r="F25" s="25"/>
    </row>
    <row r="26" spans="2:19" x14ac:dyDescent="0.25">
      <c r="E26" s="4" t="s">
        <v>44</v>
      </c>
      <c r="F26" s="20">
        <f>SUM(F22:F25)</f>
        <v>0</v>
      </c>
    </row>
    <row r="27" spans="2:19" x14ac:dyDescent="0.25">
      <c r="F27" s="21"/>
    </row>
    <row r="28" spans="2:19" x14ac:dyDescent="0.25">
      <c r="B28" s="4" t="s">
        <v>47</v>
      </c>
      <c r="E28" t="s">
        <v>82</v>
      </c>
      <c r="J28" s="26" t="s">
        <v>83</v>
      </c>
      <c r="K28" s="27" t="s">
        <v>84</v>
      </c>
      <c r="L28" s="28" t="s">
        <v>85</v>
      </c>
    </row>
    <row r="29" spans="2:19" x14ac:dyDescent="0.25">
      <c r="C29" t="s">
        <v>86</v>
      </c>
      <c r="E29" s="29"/>
      <c r="F29" s="21">
        <f>19.98-K29</f>
        <v>17.68</v>
      </c>
      <c r="J29" s="30"/>
      <c r="K29" s="21">
        <f>ROUND(19.98*0.13/1.13,2)</f>
        <v>2.2999999999999998</v>
      </c>
      <c r="L29" s="31"/>
    </row>
    <row r="30" spans="2:19" x14ac:dyDescent="0.25">
      <c r="C30" t="s">
        <v>87</v>
      </c>
      <c r="E30" s="29"/>
      <c r="F30" s="21">
        <f>42.94-K30</f>
        <v>38</v>
      </c>
      <c r="H30" t="s">
        <v>88</v>
      </c>
      <c r="J30" s="30"/>
      <c r="K30" s="21">
        <f>42.94/1.13*0.13</f>
        <v>4.9400000000000004</v>
      </c>
      <c r="L30" s="31"/>
    </row>
    <row r="31" spans="2:19" x14ac:dyDescent="0.25">
      <c r="C31" t="s">
        <v>62</v>
      </c>
      <c r="E31" s="32"/>
      <c r="F31" s="21"/>
      <c r="J31" s="30"/>
      <c r="K31" s="21"/>
      <c r="L31" s="31"/>
    </row>
    <row r="32" spans="2:19" x14ac:dyDescent="0.25">
      <c r="C32" t="s">
        <v>56</v>
      </c>
      <c r="E32" s="32"/>
      <c r="F32" s="21"/>
      <c r="J32" s="30"/>
      <c r="K32" s="21"/>
      <c r="L32" s="31"/>
    </row>
    <row r="33" spans="3:18" x14ac:dyDescent="0.25">
      <c r="C33" t="s">
        <v>51</v>
      </c>
      <c r="E33" s="32">
        <v>287</v>
      </c>
      <c r="F33" s="21">
        <f>467.25-L33</f>
        <v>445</v>
      </c>
      <c r="J33" s="30"/>
      <c r="K33" s="21"/>
      <c r="L33" s="31">
        <v>22.25</v>
      </c>
    </row>
    <row r="34" spans="3:18" x14ac:dyDescent="0.25">
      <c r="C34" t="s">
        <v>89</v>
      </c>
      <c r="E34" s="33"/>
      <c r="F34" s="21">
        <v>3.75</v>
      </c>
      <c r="J34" s="30"/>
      <c r="K34" s="21"/>
      <c r="L34" s="31"/>
    </row>
    <row r="35" spans="3:18" x14ac:dyDescent="0.25">
      <c r="C35" s="34" t="s">
        <v>48</v>
      </c>
      <c r="E35" s="33"/>
      <c r="F35" s="21"/>
      <c r="J35" s="30"/>
      <c r="K35" s="21"/>
      <c r="L35" s="31"/>
    </row>
    <row r="36" spans="3:18" x14ac:dyDescent="0.25">
      <c r="C36" t="s">
        <v>90</v>
      </c>
      <c r="E36" s="33"/>
      <c r="F36" s="21"/>
      <c r="J36" s="30"/>
      <c r="K36" s="21"/>
      <c r="L36" s="31"/>
      <c r="R36" s="5"/>
    </row>
    <row r="37" spans="3:18" x14ac:dyDescent="0.25">
      <c r="C37" t="s">
        <v>59</v>
      </c>
      <c r="E37" s="33"/>
      <c r="F37" s="21"/>
      <c r="J37" s="30"/>
      <c r="K37" s="21"/>
      <c r="L37" s="31"/>
      <c r="R37" s="5"/>
    </row>
    <row r="38" spans="3:18" x14ac:dyDescent="0.25">
      <c r="C38" t="s">
        <v>52</v>
      </c>
      <c r="E38" s="35"/>
      <c r="F38" s="21"/>
      <c r="J38" s="30"/>
      <c r="K38" s="21"/>
      <c r="L38" s="31"/>
    </row>
    <row r="39" spans="3:18" x14ac:dyDescent="0.25">
      <c r="C39" s="34" t="s">
        <v>91</v>
      </c>
      <c r="E39" s="29"/>
      <c r="F39" s="21">
        <f>SUM(Contributions!Y10)-F58+[5]Chequing!$F$58</f>
        <v>3.4899999999999993</v>
      </c>
      <c r="J39" s="30"/>
      <c r="K39" s="21"/>
      <c r="L39" s="31"/>
    </row>
    <row r="40" spans="3:18" x14ac:dyDescent="0.25">
      <c r="C40" s="34" t="s">
        <v>92</v>
      </c>
      <c r="E40" s="32"/>
      <c r="F40" s="21"/>
      <c r="J40" s="30"/>
      <c r="K40" s="21"/>
      <c r="L40" s="31"/>
    </row>
    <row r="41" spans="3:18" hidden="1" x14ac:dyDescent="0.25">
      <c r="C41" s="34" t="s">
        <v>93</v>
      </c>
      <c r="E41" s="33"/>
      <c r="F41" s="21"/>
      <c r="J41" s="30"/>
      <c r="K41" s="21"/>
      <c r="L41" s="31"/>
    </row>
    <row r="42" spans="3:18" x14ac:dyDescent="0.25">
      <c r="C42" s="34" t="s">
        <v>94</v>
      </c>
      <c r="E42" s="35">
        <v>288289290</v>
      </c>
      <c r="F42" s="21">
        <f>62.14-K42+39.49+141.22</f>
        <v>219.45</v>
      </c>
      <c r="H42" t="s">
        <v>166</v>
      </c>
      <c r="J42" s="30"/>
      <c r="K42" s="21">
        <f>7.15+16.25</f>
        <v>23.4</v>
      </c>
      <c r="L42" s="31"/>
    </row>
    <row r="43" spans="3:18" x14ac:dyDescent="0.25">
      <c r="C43" s="34" t="s">
        <v>63</v>
      </c>
      <c r="E43" s="35"/>
      <c r="F43" s="21"/>
      <c r="J43" s="30"/>
      <c r="K43" s="21"/>
      <c r="L43" s="31"/>
    </row>
    <row r="44" spans="3:18" x14ac:dyDescent="0.25">
      <c r="C44" t="s">
        <v>65</v>
      </c>
      <c r="F44" s="21">
        <f>K47</f>
        <v>30.64</v>
      </c>
      <c r="J44" s="30"/>
      <c r="K44" s="21"/>
      <c r="L44" s="31"/>
    </row>
    <row r="45" spans="3:18" x14ac:dyDescent="0.25">
      <c r="C45" t="s">
        <v>66</v>
      </c>
      <c r="F45" s="21">
        <f>J47</f>
        <v>0</v>
      </c>
      <c r="J45" s="36"/>
      <c r="K45" s="37"/>
      <c r="L45" s="31"/>
    </row>
    <row r="46" spans="3:18" x14ac:dyDescent="0.25">
      <c r="C46" t="s">
        <v>67</v>
      </c>
      <c r="F46" s="21">
        <f>L47</f>
        <v>22.25</v>
      </c>
      <c r="J46" s="38"/>
      <c r="K46" s="39"/>
      <c r="L46" s="40"/>
    </row>
    <row r="47" spans="3:18" x14ac:dyDescent="0.25">
      <c r="E47" s="4" t="s">
        <v>44</v>
      </c>
      <c r="F47" s="20">
        <f>SUM(F29:F46)</f>
        <v>780.26</v>
      </c>
      <c r="H47" s="5">
        <f>F47-F39+1.95</f>
        <v>778.72</v>
      </c>
      <c r="J47" s="41">
        <f>SUM(J29:J45)</f>
        <v>0</v>
      </c>
      <c r="K47" s="42">
        <f>SUM(K29:K45)</f>
        <v>30.64</v>
      </c>
      <c r="L47" s="43">
        <f>SUM(L29:L45)</f>
        <v>22.25</v>
      </c>
    </row>
    <row r="48" spans="3:18" x14ac:dyDescent="0.25">
      <c r="F48" s="21"/>
      <c r="H48" s="5"/>
    </row>
    <row r="49" spans="1:10" x14ac:dyDescent="0.25">
      <c r="F49" s="21"/>
    </row>
    <row r="50" spans="1:10" x14ac:dyDescent="0.25">
      <c r="B50" t="s">
        <v>79</v>
      </c>
      <c r="F50" s="21"/>
    </row>
    <row r="51" spans="1:10" x14ac:dyDescent="0.25">
      <c r="C51" t="s">
        <v>95</v>
      </c>
      <c r="F51" s="21">
        <v>0</v>
      </c>
    </row>
    <row r="52" spans="1:10" x14ac:dyDescent="0.25">
      <c r="C52" t="s">
        <v>151</v>
      </c>
      <c r="E52" s="33"/>
      <c r="F52" s="21"/>
    </row>
    <row r="53" spans="1:10" x14ac:dyDescent="0.25">
      <c r="E53" s="4" t="s">
        <v>44</v>
      </c>
      <c r="F53" s="20">
        <f>SUM(F49:F52)</f>
        <v>0</v>
      </c>
    </row>
    <row r="55" spans="1:10" ht="15.75" x14ac:dyDescent="0.25">
      <c r="A55" s="1" t="s">
        <v>96</v>
      </c>
      <c r="F55" s="15">
        <f>F6+F19+F26-F47-F53</f>
        <v>36668.200000000026</v>
      </c>
      <c r="H55" s="3">
        <f>33563.46-F55</f>
        <v>-3104.7400000000271</v>
      </c>
      <c r="I55" s="5"/>
      <c r="J55" s="5"/>
    </row>
    <row r="58" spans="1:10" x14ac:dyDescent="0.25">
      <c r="B58" s="4" t="s">
        <v>27</v>
      </c>
      <c r="D58" t="s">
        <v>82</v>
      </c>
      <c r="E58" s="33"/>
      <c r="F58" s="21">
        <f>SUM(Contributions!Y12:Y22)</f>
        <v>3.49</v>
      </c>
      <c r="G58" t="s">
        <v>97</v>
      </c>
    </row>
    <row r="59" spans="1:10" x14ac:dyDescent="0.25">
      <c r="E59" s="33">
        <v>286</v>
      </c>
      <c r="F59" s="21">
        <v>1661.1</v>
      </c>
      <c r="H59" t="s">
        <v>160</v>
      </c>
    </row>
    <row r="60" spans="1:10" x14ac:dyDescent="0.25">
      <c r="E60" s="35"/>
      <c r="F60" s="21"/>
    </row>
    <row r="61" spans="1:10" x14ac:dyDescent="0.25">
      <c r="E61" s="35"/>
      <c r="F61" s="21"/>
    </row>
    <row r="62" spans="1:10" x14ac:dyDescent="0.25">
      <c r="E62" s="4" t="s">
        <v>44</v>
      </c>
      <c r="F62" s="20">
        <f>SUM(F58:F61)</f>
        <v>1664.59</v>
      </c>
    </row>
    <row r="66" spans="2:6" x14ac:dyDescent="0.25">
      <c r="D66" t="s">
        <v>97</v>
      </c>
      <c r="F66" s="3">
        <f>SUM(Contributions!X12:X22)</f>
        <v>100</v>
      </c>
    </row>
    <row r="67" spans="2:6" x14ac:dyDescent="0.25">
      <c r="D67" t="s">
        <v>61</v>
      </c>
      <c r="F67" s="3"/>
    </row>
    <row r="68" spans="2:6" x14ac:dyDescent="0.25">
      <c r="B68" s="4" t="s">
        <v>17</v>
      </c>
      <c r="E68" s="4" t="s">
        <v>44</v>
      </c>
      <c r="F68" s="20">
        <f>SUM(F63:F67)</f>
        <v>100</v>
      </c>
    </row>
  </sheetData>
  <mergeCells count="2">
    <mergeCell ref="A1:G1"/>
    <mergeCell ref="A2:C2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9"/>
  <sheetViews>
    <sheetView topLeftCell="A3" zoomScaleNormal="100" workbookViewId="0">
      <selection activeCell="D4" sqref="D4"/>
    </sheetView>
  </sheetViews>
  <sheetFormatPr defaultRowHeight="15" x14ac:dyDescent="0.25"/>
  <cols>
    <col min="1" max="3" width="8.7109375" customWidth="1"/>
    <col min="4" max="4" width="10.5703125" bestFit="1" customWidth="1"/>
    <col min="5" max="1025" width="8.7109375" customWidth="1"/>
  </cols>
  <sheetData>
    <row r="1" spans="1:10" ht="21" x14ac:dyDescent="0.35">
      <c r="A1" s="44" t="s">
        <v>98</v>
      </c>
    </row>
    <row r="4" spans="1:10" ht="15.75" x14ac:dyDescent="0.25">
      <c r="A4" s="1" t="s">
        <v>99</v>
      </c>
      <c r="D4" s="22">
        <f>'[1]Petty Cash'!$D$29</f>
        <v>-1.4566126083082054E-13</v>
      </c>
    </row>
    <row r="5" spans="1:10" x14ac:dyDescent="0.25">
      <c r="D5" s="21"/>
    </row>
    <row r="6" spans="1:10" x14ac:dyDescent="0.25">
      <c r="B6" s="4" t="s">
        <v>79</v>
      </c>
      <c r="D6" s="21">
        <f>Chequing!F52+SUM('Net Shed Tally Sheets - 1:Sheet 15'!Z20)</f>
        <v>0</v>
      </c>
    </row>
    <row r="7" spans="1:10" x14ac:dyDescent="0.25">
      <c r="D7" s="21"/>
    </row>
    <row r="8" spans="1:10" x14ac:dyDescent="0.25">
      <c r="B8" t="s">
        <v>100</v>
      </c>
      <c r="D8" s="21"/>
    </row>
    <row r="9" spans="1:10" x14ac:dyDescent="0.25">
      <c r="D9" s="21"/>
    </row>
    <row r="10" spans="1:10" x14ac:dyDescent="0.25">
      <c r="D10" s="21"/>
    </row>
    <row r="12" spans="1:10" x14ac:dyDescent="0.25">
      <c r="C12" s="4" t="s">
        <v>44</v>
      </c>
      <c r="D12" s="20">
        <f>SUM(D6:D11)</f>
        <v>0</v>
      </c>
    </row>
    <row r="14" spans="1:10" x14ac:dyDescent="0.25">
      <c r="B14" s="4" t="s">
        <v>47</v>
      </c>
      <c r="D14" s="21"/>
      <c r="H14" s="26" t="s">
        <v>83</v>
      </c>
      <c r="I14" s="27" t="s">
        <v>84</v>
      </c>
      <c r="J14" s="28" t="s">
        <v>85</v>
      </c>
    </row>
    <row r="15" spans="1:10" x14ac:dyDescent="0.25">
      <c r="C15" t="s">
        <v>92</v>
      </c>
      <c r="D15" s="21"/>
      <c r="H15" s="30"/>
      <c r="I15" s="21"/>
      <c r="J15" s="31"/>
    </row>
    <row r="16" spans="1:10" x14ac:dyDescent="0.25">
      <c r="C16" t="s">
        <v>92</v>
      </c>
      <c r="D16" s="21"/>
      <c r="H16" s="30"/>
      <c r="I16" s="21"/>
      <c r="J16" s="31"/>
    </row>
    <row r="17" spans="1:10" x14ac:dyDescent="0.25">
      <c r="C17" t="s">
        <v>92</v>
      </c>
      <c r="D17" s="21"/>
      <c r="H17" s="30"/>
      <c r="I17" s="21"/>
      <c r="J17" s="31"/>
    </row>
    <row r="18" spans="1:10" x14ac:dyDescent="0.25">
      <c r="C18" t="s">
        <v>157</v>
      </c>
      <c r="D18" s="21"/>
      <c r="H18" s="30"/>
      <c r="I18" s="21"/>
      <c r="J18" s="31"/>
    </row>
    <row r="19" spans="1:10" x14ac:dyDescent="0.25">
      <c r="C19" t="s">
        <v>94</v>
      </c>
      <c r="D19" s="21"/>
      <c r="H19" s="30"/>
      <c r="I19" s="21"/>
      <c r="J19" s="31"/>
    </row>
    <row r="20" spans="1:10" x14ac:dyDescent="0.25">
      <c r="C20" t="s">
        <v>94</v>
      </c>
      <c r="D20" s="21"/>
      <c r="H20" s="30"/>
      <c r="I20" s="21"/>
      <c r="J20" s="31"/>
    </row>
    <row r="21" spans="1:10" x14ac:dyDescent="0.25">
      <c r="C21" t="s">
        <v>65</v>
      </c>
      <c r="D21" s="21">
        <f>I22</f>
        <v>0</v>
      </c>
      <c r="H21" s="38"/>
      <c r="I21" s="39"/>
      <c r="J21" s="40"/>
    </row>
    <row r="22" spans="1:10" x14ac:dyDescent="0.25">
      <c r="C22" s="4" t="s">
        <v>44</v>
      </c>
      <c r="D22" s="20">
        <f>SUM(D14:D21)</f>
        <v>0</v>
      </c>
      <c r="H22" s="41">
        <f>SUM(H15:H19)</f>
        <v>0</v>
      </c>
      <c r="I22" s="42">
        <f>SUM(I15:I20)</f>
        <v>0</v>
      </c>
      <c r="J22" s="43">
        <f>SUM(J15:J19)</f>
        <v>0</v>
      </c>
    </row>
    <row r="24" spans="1:10" x14ac:dyDescent="0.25">
      <c r="B24" s="4" t="s">
        <v>79</v>
      </c>
      <c r="C24" s="4"/>
      <c r="D24" s="25"/>
    </row>
    <row r="25" spans="1:10" x14ac:dyDescent="0.25">
      <c r="C25" s="4"/>
      <c r="D25" s="21"/>
      <c r="F25" t="s">
        <v>101</v>
      </c>
    </row>
    <row r="26" spans="1:10" x14ac:dyDescent="0.25">
      <c r="C26" s="4"/>
      <c r="D26" s="25"/>
    </row>
    <row r="27" spans="1:10" x14ac:dyDescent="0.25">
      <c r="C27" s="4" t="s">
        <v>44</v>
      </c>
      <c r="D27" s="20">
        <f>SUM(D24:D26)</f>
        <v>0</v>
      </c>
    </row>
    <row r="28" spans="1:10" x14ac:dyDescent="0.25">
      <c r="D28" s="21"/>
    </row>
    <row r="29" spans="1:10" ht="15.75" x14ac:dyDescent="0.25">
      <c r="A29" s="1" t="s">
        <v>96</v>
      </c>
      <c r="B29" s="1"/>
      <c r="C29" s="1"/>
      <c r="D29" s="15">
        <f>D4+D12-D22-D27</f>
        <v>-1.4566126083082054E-13</v>
      </c>
    </row>
  </sheetData>
  <pageMargins left="0.7" right="0.7" top="0.75" bottom="0.75" header="0.51180555555555496" footer="0.51180555555555496"/>
  <pageSetup firstPageNumber="0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T31"/>
  <sheetViews>
    <sheetView zoomScaleNormal="100" workbookViewId="0">
      <selection activeCell="D3" sqref="D3"/>
    </sheetView>
  </sheetViews>
  <sheetFormatPr defaultRowHeight="15" x14ac:dyDescent="0.25"/>
  <cols>
    <col min="1" max="3" width="8.7109375" customWidth="1"/>
    <col min="4" max="6" width="10.140625" customWidth="1"/>
    <col min="7" max="7" width="11.5703125" customWidth="1"/>
    <col min="8" max="11" width="10.140625" customWidth="1"/>
    <col min="12" max="16" width="9.85546875" customWidth="1"/>
    <col min="17" max="1025" width="8.7109375" customWidth="1"/>
  </cols>
  <sheetData>
    <row r="2" spans="2:20" x14ac:dyDescent="0.25">
      <c r="B2" t="s">
        <v>104</v>
      </c>
      <c r="C2" s="45"/>
      <c r="D2" s="45">
        <v>44703</v>
      </c>
    </row>
    <row r="3" spans="2:20" x14ac:dyDescent="0.25">
      <c r="B3" t="s">
        <v>105</v>
      </c>
      <c r="E3" s="46"/>
      <c r="F3" s="46" t="s">
        <v>35</v>
      </c>
      <c r="G3" s="45">
        <f>'Net Shed Tally Sheets - 1'!B3</f>
        <v>44682</v>
      </c>
      <c r="H3" s="45">
        <f>'Sheet 2'!B3</f>
        <v>44702</v>
      </c>
      <c r="I3" s="45">
        <f>'Sheet 3'!B3</f>
        <v>44703</v>
      </c>
      <c r="J3" s="45">
        <f>'Sheet 4'!B3</f>
        <v>44704</v>
      </c>
      <c r="K3" s="45"/>
      <c r="L3" s="45"/>
      <c r="M3" s="45"/>
      <c r="N3" s="45"/>
      <c r="O3" s="45"/>
      <c r="P3" s="45"/>
    </row>
    <row r="4" spans="2:20" x14ac:dyDescent="0.25">
      <c r="E4" s="46"/>
      <c r="F4" s="45"/>
      <c r="G4" s="45"/>
      <c r="H4" s="45"/>
    </row>
    <row r="5" spans="2:20" x14ac:dyDescent="0.25">
      <c r="E5" s="45"/>
      <c r="F5" s="45"/>
      <c r="G5" s="45"/>
      <c r="H5" s="45"/>
      <c r="I5" s="45"/>
    </row>
    <row r="6" spans="2:20" x14ac:dyDescent="0.25">
      <c r="B6" t="s">
        <v>102</v>
      </c>
      <c r="G6" s="47">
        <f>SUM('Net Shed Tally Sheets - 1:Sheet 4'!F5)</f>
        <v>310</v>
      </c>
    </row>
    <row r="7" spans="2:20" x14ac:dyDescent="0.25">
      <c r="E7" t="s">
        <v>107</v>
      </c>
      <c r="P7" s="48"/>
      <c r="Q7" s="49"/>
      <c r="R7" s="49" t="s">
        <v>108</v>
      </c>
      <c r="S7" s="49"/>
      <c r="T7" s="50"/>
    </row>
    <row r="8" spans="2:20" x14ac:dyDescent="0.25">
      <c r="B8" t="s">
        <v>103</v>
      </c>
      <c r="P8" s="36"/>
      <c r="Q8" s="37"/>
      <c r="R8" s="37"/>
      <c r="S8" s="37"/>
      <c r="T8" s="51"/>
    </row>
    <row r="9" spans="2:20" x14ac:dyDescent="0.25">
      <c r="C9" s="52">
        <f>SUM('Net Shed Tally Sheets - 1:Sheet 4'!B8)</f>
        <v>0</v>
      </c>
      <c r="D9" s="33" t="s">
        <v>109</v>
      </c>
      <c r="E9" s="53">
        <v>100</v>
      </c>
      <c r="F9" s="33"/>
      <c r="G9" s="54">
        <f t="shared" ref="G9:G20" si="0">C9*E9</f>
        <v>0</v>
      </c>
      <c r="P9" s="52">
        <f>SUM('Net Shed Tally Sheets - 1:Sheet 3'!I8)</f>
        <v>0</v>
      </c>
      <c r="Q9" s="55" t="s">
        <v>109</v>
      </c>
      <c r="R9" s="56">
        <v>100</v>
      </c>
      <c r="S9" s="55"/>
      <c r="T9" s="57">
        <f t="shared" ref="T9:T15" si="1">P9*R9</f>
        <v>0</v>
      </c>
    </row>
    <row r="10" spans="2:20" x14ac:dyDescent="0.25">
      <c r="C10" s="52">
        <f>SUM('Net Shed Tally Sheets - 1:Sheet 4'!B9)</f>
        <v>4</v>
      </c>
      <c r="D10" s="33" t="s">
        <v>109</v>
      </c>
      <c r="E10" s="53">
        <v>50</v>
      </c>
      <c r="F10" s="33" t="s">
        <v>110</v>
      </c>
      <c r="G10" s="54">
        <f t="shared" si="0"/>
        <v>200</v>
      </c>
      <c r="P10" s="52">
        <v>0</v>
      </c>
      <c r="Q10" s="55" t="s">
        <v>109</v>
      </c>
      <c r="R10" s="56">
        <v>50</v>
      </c>
      <c r="S10" s="55" t="s">
        <v>110</v>
      </c>
      <c r="T10" s="57">
        <f t="shared" si="1"/>
        <v>0</v>
      </c>
    </row>
    <row r="11" spans="2:20" x14ac:dyDescent="0.25">
      <c r="C11" s="52">
        <f>SUM('Net Shed Tally Sheets - 1:Sheet 4'!B10)</f>
        <v>32</v>
      </c>
      <c r="D11" s="33" t="s">
        <v>109</v>
      </c>
      <c r="E11" s="53">
        <v>20</v>
      </c>
      <c r="F11" s="33" t="s">
        <v>110</v>
      </c>
      <c r="G11" s="54">
        <f t="shared" si="0"/>
        <v>640</v>
      </c>
      <c r="J11" s="119" t="s">
        <v>111</v>
      </c>
      <c r="K11" s="119"/>
      <c r="L11" s="49"/>
      <c r="M11" s="120" t="s">
        <v>112</v>
      </c>
      <c r="N11" s="120"/>
      <c r="P11" s="52">
        <f>SUM('Net Shed Tally Sheets - 1:Sheet 3'!I10)</f>
        <v>0</v>
      </c>
      <c r="Q11" s="55" t="s">
        <v>109</v>
      </c>
      <c r="R11" s="56">
        <v>20</v>
      </c>
      <c r="S11" s="55" t="s">
        <v>110</v>
      </c>
      <c r="T11" s="57">
        <f t="shared" si="1"/>
        <v>0</v>
      </c>
    </row>
    <row r="12" spans="2:20" x14ac:dyDescent="0.25">
      <c r="C12" s="52">
        <f>SUM('Net Shed Tally Sheets - 1:Sheet 4'!B11)</f>
        <v>21</v>
      </c>
      <c r="D12" s="33" t="s">
        <v>109</v>
      </c>
      <c r="E12" s="53">
        <v>10</v>
      </c>
      <c r="F12" s="33" t="s">
        <v>110</v>
      </c>
      <c r="G12" s="54">
        <f t="shared" si="0"/>
        <v>210</v>
      </c>
      <c r="J12" s="36"/>
      <c r="K12" s="37"/>
      <c r="L12" s="37"/>
      <c r="M12" s="37"/>
      <c r="N12" s="51"/>
      <c r="P12" s="52">
        <f>SUM('Net Shed Tally Sheets - 1:Sheet 3'!I11)</f>
        <v>0</v>
      </c>
      <c r="Q12" s="55" t="s">
        <v>109</v>
      </c>
      <c r="R12" s="56">
        <v>10</v>
      </c>
      <c r="S12" s="55" t="s">
        <v>110</v>
      </c>
      <c r="T12" s="57">
        <f t="shared" si="1"/>
        <v>0</v>
      </c>
    </row>
    <row r="13" spans="2:20" x14ac:dyDescent="0.25">
      <c r="C13" s="52">
        <f>SUM('Net Shed Tally Sheets - 1:Sheet 4'!B12)</f>
        <v>65</v>
      </c>
      <c r="D13" s="33" t="s">
        <v>109</v>
      </c>
      <c r="E13" s="53">
        <v>5</v>
      </c>
      <c r="F13" s="33" t="s">
        <v>110</v>
      </c>
      <c r="G13" s="54">
        <f t="shared" si="0"/>
        <v>325</v>
      </c>
      <c r="J13" s="36"/>
      <c r="K13" s="37"/>
      <c r="L13" s="37"/>
      <c r="M13" s="37"/>
      <c r="N13" s="51"/>
      <c r="P13" s="52">
        <f>SUM('Net Shed Tally Sheets - 1:Sheet 3'!I12)</f>
        <v>0</v>
      </c>
      <c r="Q13" s="55" t="s">
        <v>109</v>
      </c>
      <c r="R13" s="56">
        <v>5</v>
      </c>
      <c r="S13" s="55" t="s">
        <v>110</v>
      </c>
      <c r="T13" s="57">
        <f t="shared" si="1"/>
        <v>0</v>
      </c>
    </row>
    <row r="14" spans="2:20" x14ac:dyDescent="0.25">
      <c r="B14" s="58"/>
      <c r="C14" s="52">
        <f>SUM('Net Shed Tally Sheets - 1:Sheet 4'!B13)</f>
        <v>39</v>
      </c>
      <c r="D14" s="33" t="s">
        <v>109</v>
      </c>
      <c r="E14" s="53">
        <v>2</v>
      </c>
      <c r="F14" s="33" t="s">
        <v>110</v>
      </c>
      <c r="G14" s="54">
        <f t="shared" si="0"/>
        <v>78</v>
      </c>
      <c r="J14" s="36">
        <f>INT((C14+'[1]Deposit Slip (5)'!M14)/25)*25</f>
        <v>25</v>
      </c>
      <c r="K14" s="56">
        <f t="shared" ref="K14:K15" si="2">J14*E14</f>
        <v>50</v>
      </c>
      <c r="L14" s="37"/>
      <c r="M14" s="59">
        <f>C14-J14+'[1]Deposit Slip (5)'!M14</f>
        <v>16</v>
      </c>
      <c r="N14" s="60">
        <f t="shared" ref="N14:N20" si="3">M14*E14</f>
        <v>32</v>
      </c>
      <c r="P14" s="52">
        <f>SUM('Net Shed Tally Sheets - 1:Sheet 3'!I13)</f>
        <v>0</v>
      </c>
      <c r="Q14" s="55" t="s">
        <v>109</v>
      </c>
      <c r="R14" s="56">
        <v>2</v>
      </c>
      <c r="S14" s="55" t="s">
        <v>110</v>
      </c>
      <c r="T14" s="57">
        <f t="shared" si="1"/>
        <v>0</v>
      </c>
    </row>
    <row r="15" spans="2:20" ht="15.75" thickBot="1" x14ac:dyDescent="0.3">
      <c r="B15" s="58"/>
      <c r="C15" s="52">
        <f>SUM('Net Shed Tally Sheets - 1:Sheet 4'!B14)</f>
        <v>60</v>
      </c>
      <c r="D15" s="33" t="s">
        <v>109</v>
      </c>
      <c r="E15" s="53">
        <v>1</v>
      </c>
      <c r="F15" s="33" t="s">
        <v>110</v>
      </c>
      <c r="G15" s="54">
        <f t="shared" si="0"/>
        <v>60</v>
      </c>
      <c r="J15" s="36">
        <f>INT((C15+'[1]Deposit Slip (5)'!$M$15)/25)*25</f>
        <v>50</v>
      </c>
      <c r="K15" s="56">
        <f t="shared" si="2"/>
        <v>50</v>
      </c>
      <c r="L15" s="37"/>
      <c r="M15" s="59">
        <f>C15-J15+'[1]Deposit Slip (5)'!M15</f>
        <v>24</v>
      </c>
      <c r="N15" s="60">
        <f t="shared" si="3"/>
        <v>24</v>
      </c>
      <c r="P15" s="52">
        <f>SUM('Net Shed Tally Sheets - 1:Sheet 3'!I14)</f>
        <v>0</v>
      </c>
      <c r="Q15" s="55" t="s">
        <v>109</v>
      </c>
      <c r="R15" s="56">
        <v>1</v>
      </c>
      <c r="S15" s="55" t="s">
        <v>110</v>
      </c>
      <c r="T15" s="57">
        <f t="shared" si="1"/>
        <v>0</v>
      </c>
    </row>
    <row r="16" spans="2:20" ht="15.75" thickBot="1" x14ac:dyDescent="0.3">
      <c r="B16" s="58"/>
      <c r="C16" s="52">
        <f>SUM('Net Shed Tally Sheets - 1:Sheet 4'!B15)</f>
        <v>0</v>
      </c>
      <c r="D16" s="33" t="s">
        <v>109</v>
      </c>
      <c r="E16" s="9">
        <v>0.5</v>
      </c>
      <c r="F16" s="33" t="s">
        <v>110</v>
      </c>
      <c r="G16" s="61">
        <f>C16*E16</f>
        <v>0</v>
      </c>
      <c r="J16" s="36"/>
      <c r="K16" s="56"/>
      <c r="L16" s="80"/>
      <c r="M16" s="59"/>
      <c r="N16" s="60">
        <f t="shared" si="3"/>
        <v>0</v>
      </c>
      <c r="P16" s="36"/>
      <c r="Q16" s="37"/>
      <c r="R16" s="37"/>
      <c r="S16" s="55" t="s">
        <v>113</v>
      </c>
      <c r="T16" s="62">
        <f>SUM(T9:T15)</f>
        <v>0</v>
      </c>
    </row>
    <row r="17" spans="2:20" ht="15.75" thickBot="1" x14ac:dyDescent="0.3">
      <c r="B17" s="58"/>
      <c r="C17" s="52">
        <f>SUM('Net Shed Tally Sheets - 1:Sheet 4'!B16)</f>
        <v>137</v>
      </c>
      <c r="D17" s="33" t="s">
        <v>109</v>
      </c>
      <c r="E17" s="9">
        <v>0.25</v>
      </c>
      <c r="F17" s="33" t="s">
        <v>110</v>
      </c>
      <c r="G17" s="61">
        <f t="shared" si="0"/>
        <v>34.25</v>
      </c>
      <c r="J17" s="36">
        <f>INT((C17+'[1]Deposit Slip (5)'!$M$17)/40)*40</f>
        <v>160</v>
      </c>
      <c r="K17" s="56">
        <f>J17*E17</f>
        <v>40</v>
      </c>
      <c r="L17" s="37"/>
      <c r="M17" s="59">
        <f>C17-J17+'[1]Deposit Slip (5)'!M17</f>
        <v>12</v>
      </c>
      <c r="N17" s="60">
        <f t="shared" si="3"/>
        <v>3</v>
      </c>
      <c r="P17" s="36"/>
      <c r="Q17" s="37"/>
      <c r="R17" s="37"/>
      <c r="S17" s="55" t="s">
        <v>114</v>
      </c>
      <c r="T17" s="51">
        <v>1.27</v>
      </c>
    </row>
    <row r="18" spans="2:20" ht="15.75" thickBot="1" x14ac:dyDescent="0.3">
      <c r="B18" s="58"/>
      <c r="C18" s="52">
        <f>SUM('Net Shed Tally Sheets - 1:Sheet 4'!B17)</f>
        <v>54</v>
      </c>
      <c r="D18" s="33" t="s">
        <v>109</v>
      </c>
      <c r="E18" s="9">
        <v>0.1</v>
      </c>
      <c r="F18" s="33" t="s">
        <v>110</v>
      </c>
      <c r="G18" s="61">
        <f t="shared" si="0"/>
        <v>5.4</v>
      </c>
      <c r="J18" s="36">
        <f>INT((C18+'[1]Deposit Slip (5)'!$M$18)/50)*50</f>
        <v>50</v>
      </c>
      <c r="K18" s="56">
        <f>J18*E18</f>
        <v>5</v>
      </c>
      <c r="L18" s="37"/>
      <c r="M18" s="59">
        <f>C18-J18+'[1]Deposit Slip (5)'!M18</f>
        <v>36</v>
      </c>
      <c r="N18" s="60">
        <f t="shared" si="3"/>
        <v>3.6</v>
      </c>
      <c r="P18" s="63"/>
      <c r="Q18" s="64"/>
      <c r="R18" s="64"/>
      <c r="S18" s="65" t="s">
        <v>115</v>
      </c>
      <c r="T18" s="66">
        <f>ROUND(T16*T17,2)</f>
        <v>0</v>
      </c>
    </row>
    <row r="19" spans="2:20" ht="15.75" thickBot="1" x14ac:dyDescent="0.3">
      <c r="B19" s="58"/>
      <c r="C19" s="52">
        <f>SUM('Net Shed Tally Sheets - 1:Sheet 4'!B18)</f>
        <v>32</v>
      </c>
      <c r="D19" s="33" t="s">
        <v>109</v>
      </c>
      <c r="E19" s="9">
        <v>0.05</v>
      </c>
      <c r="F19" s="33" t="s">
        <v>110</v>
      </c>
      <c r="G19" s="61">
        <f t="shared" si="0"/>
        <v>1.6</v>
      </c>
      <c r="J19" s="36">
        <f>INT((C19+'[1]Deposit Slip (5)'!$M$19)/40)*40</f>
        <v>40</v>
      </c>
      <c r="K19" s="56">
        <f>J19*E19</f>
        <v>2</v>
      </c>
      <c r="L19" s="37"/>
      <c r="M19" s="59">
        <f>C19-J19+'[1]Deposit Slip (5)'!M19</f>
        <v>20</v>
      </c>
      <c r="N19" s="60">
        <f t="shared" si="3"/>
        <v>1</v>
      </c>
    </row>
    <row r="20" spans="2:20" ht="15.75" thickBot="1" x14ac:dyDescent="0.3">
      <c r="B20" s="58"/>
      <c r="C20" s="52">
        <f>SUM('Net Shed Tally Sheets - 1:Sheet 4'!B19)</f>
        <v>0</v>
      </c>
      <c r="D20" s="33" t="s">
        <v>109</v>
      </c>
      <c r="E20" s="9">
        <v>0.01</v>
      </c>
      <c r="G20" s="61">
        <f t="shared" si="0"/>
        <v>0</v>
      </c>
      <c r="J20" s="36">
        <f>INT((C20+'[1]Deposit Slip (5)'!$M$20)/50)*50</f>
        <v>0</v>
      </c>
      <c r="K20" s="67">
        <f>J20*E20</f>
        <v>0</v>
      </c>
      <c r="L20" s="37"/>
      <c r="M20" s="59">
        <f>C20-J20+'[1]Deposit Slip (5)'!M20</f>
        <v>3</v>
      </c>
      <c r="N20" s="60">
        <f t="shared" si="3"/>
        <v>0.03</v>
      </c>
    </row>
    <row r="21" spans="2:20" ht="15.75" thickBot="1" x14ac:dyDescent="0.3">
      <c r="E21" t="s">
        <v>116</v>
      </c>
      <c r="G21" s="67">
        <f>SUM(G9:G15)</f>
        <v>1513</v>
      </c>
      <c r="J21" s="36"/>
      <c r="K21" s="56"/>
      <c r="L21" s="80"/>
      <c r="M21" s="59"/>
      <c r="N21" s="60"/>
    </row>
    <row r="22" spans="2:20" ht="16.5" thickTop="1" thickBot="1" x14ac:dyDescent="0.3">
      <c r="E22" t="s">
        <v>117</v>
      </c>
      <c r="G22" s="69">
        <f>SUM(G17:G20)</f>
        <v>41.25</v>
      </c>
      <c r="I22" s="9"/>
      <c r="J22" s="63"/>
      <c r="K22" s="61">
        <f>SUM(K14:K20)</f>
        <v>147</v>
      </c>
      <c r="L22" s="64"/>
      <c r="M22" s="64"/>
      <c r="N22" s="66">
        <f>SUM(N14:N20)</f>
        <v>63.63</v>
      </c>
    </row>
    <row r="23" spans="2:20" ht="16.5" thickTop="1" thickBot="1" x14ac:dyDescent="0.3">
      <c r="E23" t="s">
        <v>13</v>
      </c>
      <c r="G23" s="69">
        <f>SUM(G21:G22)+T18+G6</f>
        <v>1864.25</v>
      </c>
    </row>
    <row r="24" spans="2:20" ht="15.75" thickTop="1" x14ac:dyDescent="0.25">
      <c r="E24" t="s">
        <v>118</v>
      </c>
      <c r="G24" s="70">
        <f>G6+K22+SUM(G9:G13)</f>
        <v>1832</v>
      </c>
      <c r="J24" t="s">
        <v>145</v>
      </c>
      <c r="K24" s="53">
        <f>SUM(K17:K20)</f>
        <v>47</v>
      </c>
    </row>
    <row r="26" spans="2:20" x14ac:dyDescent="0.25">
      <c r="B26" t="s">
        <v>37</v>
      </c>
      <c r="K26" s="9"/>
    </row>
    <row r="28" spans="2:20" ht="15.75" thickBot="1" x14ac:dyDescent="0.3">
      <c r="C28" s="52">
        <f>SUM('Net Shed Tally Sheets - 1:Sheet 2'!B27)</f>
        <v>4</v>
      </c>
      <c r="D28" s="33" t="s">
        <v>109</v>
      </c>
      <c r="E28" s="53">
        <v>5</v>
      </c>
      <c r="F28" s="33" t="s">
        <v>110</v>
      </c>
      <c r="G28" s="54">
        <f>C28*E28-1</f>
        <v>19</v>
      </c>
      <c r="H28" t="s">
        <v>119</v>
      </c>
    </row>
    <row r="31" spans="2:20" ht="15.75" thickBot="1" x14ac:dyDescent="0.3">
      <c r="B31" t="s">
        <v>38</v>
      </c>
      <c r="G31" s="108">
        <f>SUM('Net Shed Tally Sheets - 1:Sheet 2'!F30)</f>
        <v>215</v>
      </c>
      <c r="H31" t="s">
        <v>119</v>
      </c>
    </row>
  </sheetData>
  <mergeCells count="2">
    <mergeCell ref="J11:K11"/>
    <mergeCell ref="M11:N11"/>
  </mergeCells>
  <pageMargins left="0.7" right="0.7" top="0.75" bottom="0.75" header="0.51180555555555496" footer="0.51180555555555496"/>
  <pageSetup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36</vt:i4>
      </vt:variant>
      <vt:variant>
        <vt:lpstr>Named Ranges</vt:lpstr>
      </vt:variant>
      <vt:variant>
        <vt:i4>3</vt:i4>
      </vt:variant>
    </vt:vector>
  </HeadingPairs>
  <TitlesOfParts>
    <vt:vector size="39" baseType="lpstr">
      <vt:lpstr>Tax Return</vt:lpstr>
      <vt:lpstr>Position Statement</vt:lpstr>
      <vt:lpstr>Operating Statement</vt:lpstr>
      <vt:lpstr>Donations</vt:lpstr>
      <vt:lpstr>Events</vt:lpstr>
      <vt:lpstr>CanadaHelps</vt:lpstr>
      <vt:lpstr>Chequing</vt:lpstr>
      <vt:lpstr>Petty Cash</vt:lpstr>
      <vt:lpstr>Deposit Slip</vt:lpstr>
      <vt:lpstr>Deposit Slip (2)</vt:lpstr>
      <vt:lpstr>Deposit Slip (3)</vt:lpstr>
      <vt:lpstr>Deposit Slip (4)</vt:lpstr>
      <vt:lpstr>Deposit Slip (5)</vt:lpstr>
      <vt:lpstr>Net Shed Tally Sheets - 1</vt:lpstr>
      <vt:lpstr>Sheet 2</vt:lpstr>
      <vt:lpstr>Sheet 3</vt:lpstr>
      <vt:lpstr>Sheet 4</vt:lpstr>
      <vt:lpstr>Sheet 5</vt:lpstr>
      <vt:lpstr>Sheet 6</vt:lpstr>
      <vt:lpstr>Sheet 7</vt:lpstr>
      <vt:lpstr>Sheet 8</vt:lpstr>
      <vt:lpstr>Sheet 9</vt:lpstr>
      <vt:lpstr>Sheet 10</vt:lpstr>
      <vt:lpstr>Sheet 11</vt:lpstr>
      <vt:lpstr>Sheet 12</vt:lpstr>
      <vt:lpstr>Sheet 13</vt:lpstr>
      <vt:lpstr>Sheet 14</vt:lpstr>
      <vt:lpstr>Sheet 15</vt:lpstr>
      <vt:lpstr>Sheet 16</vt:lpstr>
      <vt:lpstr>Concert Tally Sheets - 1</vt:lpstr>
      <vt:lpstr>Concert Tally Sheets - 2</vt:lpstr>
      <vt:lpstr>Concert Tally Sheets - 3</vt:lpstr>
      <vt:lpstr>Concert Tally Sheets - 4</vt:lpstr>
      <vt:lpstr>Concert Tally Sheets - 5</vt:lpstr>
      <vt:lpstr>Concert Summary</vt:lpstr>
      <vt:lpstr>Contributions</vt:lpstr>
      <vt:lpstr>Contributions!Print_Area</vt:lpstr>
      <vt:lpstr>'Operating Statement'!Print_Area</vt:lpstr>
      <vt:lpstr>'Position Statement'!Print_Area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elaine burns</dc:creator>
  <cp:lastModifiedBy>Jim Brown</cp:lastModifiedBy>
  <cp:revision>0</cp:revision>
  <cp:lastPrinted>2022-02-01T21:04:13Z</cp:lastPrinted>
  <dcterms:created xsi:type="dcterms:W3CDTF">2014-07-09T17:57:24Z</dcterms:created>
  <dcterms:modified xsi:type="dcterms:W3CDTF">2022-06-01T23:53:45Z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